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IREZIONE AMMINISTRATIVA\DOCUMENTI\CONSUNTIVO 2024\DEFINITIVI\08_04\"/>
    </mc:Choice>
  </mc:AlternateContent>
  <xr:revisionPtr revIDLastSave="0" documentId="13_ncr:1_{B4FFB247-FB3E-4D4E-9C19-35E5E93EECAD}" xr6:coauthVersionLast="47" xr6:coauthVersionMax="47" xr10:uidLastSave="{00000000-0000-0000-0000-000000000000}"/>
  <bookViews>
    <workbookView xWindow="-120" yWindow="-120" windowWidth="29040" windowHeight="15720" firstSheet="1" activeTab="1" xr2:uid="{4CE50D7F-5F81-4232-A194-974CE3DB9ADF}"/>
  </bookViews>
  <sheets>
    <sheet name="mod. SITUAM 2024" sheetId="9" r:id="rId1"/>
    <sheet name="Quadro Generale " sheetId="8" r:id="rId2"/>
    <sheet name="decisionale spese" sheetId="7" r:id="rId3"/>
    <sheet name="decisionale entrate " sheetId="5" r:id="rId4"/>
    <sheet name="Stampa rendiconto PI - ENTR" sheetId="1" r:id="rId5"/>
    <sheet name="Stampa rendiconto PII - ENTRATE" sheetId="2" r:id="rId6"/>
    <sheet name="Stampa rendiconto PI - USC " sheetId="3" r:id="rId7"/>
    <sheet name="Stampa rendiconto PII - USCITE" sheetId="4" r:id="rId8"/>
  </sheets>
  <definedNames>
    <definedName name="_xlnm.Print_Area" localSheetId="0">'mod. SITUAM 2024'!$A$1:$I$53</definedName>
    <definedName name="_xlnm.Print_Titles" localSheetId="4">'Stampa rendiconto PI - ENTR'!$1:$7</definedName>
    <definedName name="_xlnm.Print_Titles" localSheetId="6">'Stampa rendiconto PI - USC '!$1:$7</definedName>
    <definedName name="_xlnm.Print_Titles" localSheetId="5">'Stampa rendiconto PII - ENTRATE'!$1:$7</definedName>
    <definedName name="_xlnm.Print_Titles" localSheetId="7">'Stampa rendiconto PII - USCITE'!$1:$7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5" i="9" l="1"/>
  <c r="M38" i="9"/>
  <c r="J89" i="4" l="1"/>
  <c r="I111" i="3" l="1"/>
  <c r="K111" i="3"/>
  <c r="K101" i="3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26" i="4"/>
  <c r="H21" i="4"/>
  <c r="H20" i="4"/>
  <c r="F12" i="4"/>
  <c r="H79" i="2" l="1"/>
  <c r="J80" i="2"/>
  <c r="H42" i="2"/>
  <c r="H39" i="2"/>
  <c r="L106" i="4" l="1"/>
  <c r="L105" i="4"/>
  <c r="L104" i="4"/>
  <c r="L107" i="4"/>
  <c r="F140" i="4"/>
  <c r="F137" i="4"/>
  <c r="F134" i="4"/>
  <c r="F133" i="4"/>
  <c r="F132" i="4"/>
  <c r="F112" i="4"/>
  <c r="F111" i="4"/>
  <c r="F101" i="4"/>
  <c r="F97" i="4"/>
  <c r="F96" i="4"/>
  <c r="F93" i="4"/>
  <c r="F89" i="4"/>
  <c r="F87" i="4"/>
  <c r="F67" i="4"/>
  <c r="G61" i="4"/>
  <c r="F61" i="4"/>
  <c r="F58" i="4"/>
  <c r="F53" i="4"/>
  <c r="F49" i="4"/>
  <c r="F47" i="4"/>
  <c r="F46" i="4"/>
  <c r="F41" i="4"/>
  <c r="F35" i="4"/>
  <c r="F34" i="4"/>
  <c r="F33" i="4"/>
  <c r="F32" i="4"/>
  <c r="F31" i="4"/>
  <c r="F29" i="4"/>
  <c r="F28" i="4"/>
  <c r="F26" i="4"/>
  <c r="F21" i="4"/>
  <c r="F20" i="4"/>
  <c r="F18" i="4"/>
  <c r="F16" i="4"/>
  <c r="F13" i="4"/>
  <c r="F10" i="4"/>
  <c r="H112" i="4"/>
  <c r="H111" i="4"/>
  <c r="K111" i="4" s="1"/>
  <c r="E112" i="4"/>
  <c r="O72" i="2"/>
  <c r="O71" i="2"/>
  <c r="M72" i="2"/>
  <c r="L72" i="2"/>
  <c r="M71" i="2"/>
  <c r="N47" i="2"/>
  <c r="N46" i="2"/>
  <c r="M44" i="2"/>
  <c r="N30" i="2"/>
  <c r="N28" i="2"/>
  <c r="N14" i="2"/>
  <c r="N13" i="2"/>
  <c r="L14" i="2"/>
  <c r="L13" i="2"/>
  <c r="K69" i="2"/>
  <c r="K68" i="2"/>
  <c r="K47" i="2"/>
  <c r="K46" i="2"/>
  <c r="K43" i="2"/>
  <c r="K42" i="2"/>
  <c r="K39" i="2"/>
  <c r="K38" i="2"/>
  <c r="K37" i="2"/>
  <c r="K36" i="2"/>
  <c r="K30" i="2"/>
  <c r="K29" i="2"/>
  <c r="K28" i="2"/>
  <c r="K27" i="2"/>
  <c r="K26" i="2"/>
  <c r="K25" i="2"/>
  <c r="F102" i="2"/>
  <c r="F99" i="2"/>
  <c r="K72" i="2"/>
  <c r="F79" i="2"/>
  <c r="H67" i="2"/>
  <c r="F67" i="2"/>
  <c r="F42" i="2"/>
  <c r="E103" i="2"/>
  <c r="E31" i="2"/>
  <c r="H14" i="2"/>
  <c r="H13" i="2"/>
  <c r="E14" i="2"/>
  <c r="F14" i="2"/>
  <c r="O107" i="4"/>
  <c r="O106" i="4"/>
  <c r="O105" i="4"/>
  <c r="O104" i="4"/>
  <c r="K107" i="4"/>
  <c r="E35" i="7" s="1"/>
  <c r="D35" i="7"/>
  <c r="D32" i="5"/>
  <c r="M71" i="3"/>
  <c r="M70" i="3"/>
  <c r="M69" i="3"/>
  <c r="M68" i="3"/>
  <c r="M67" i="3"/>
  <c r="K140" i="3"/>
  <c r="K138" i="3"/>
  <c r="K137" i="3"/>
  <c r="K134" i="3"/>
  <c r="K133" i="3"/>
  <c r="K132" i="3"/>
  <c r="I137" i="3"/>
  <c r="I138" i="3"/>
  <c r="I141" i="3"/>
  <c r="I140" i="3"/>
  <c r="I134" i="3"/>
  <c r="I133" i="3"/>
  <c r="I132" i="3"/>
  <c r="K107" i="3"/>
  <c r="I107" i="3"/>
  <c r="I101" i="3"/>
  <c r="I93" i="3"/>
  <c r="I97" i="3"/>
  <c r="K96" i="3"/>
  <c r="I96" i="3"/>
  <c r="K93" i="3"/>
  <c r="K89" i="3"/>
  <c r="I89" i="3"/>
  <c r="K87" i="3"/>
  <c r="I87" i="3"/>
  <c r="K61" i="3"/>
  <c r="I61" i="3"/>
  <c r="K58" i="3"/>
  <c r="I58" i="3"/>
  <c r="K53" i="3"/>
  <c r="I53" i="3"/>
  <c r="K49" i="3"/>
  <c r="I49" i="3"/>
  <c r="K47" i="3"/>
  <c r="I47" i="3"/>
  <c r="K46" i="3"/>
  <c r="I46" i="3"/>
  <c r="K42" i="3"/>
  <c r="I42" i="3"/>
  <c r="I41" i="3"/>
  <c r="K40" i="3"/>
  <c r="I40" i="3"/>
  <c r="K39" i="3"/>
  <c r="I39" i="3"/>
  <c r="K38" i="3"/>
  <c r="I38" i="3"/>
  <c r="I35" i="3"/>
  <c r="K35" i="3"/>
  <c r="K34" i="3"/>
  <c r="I34" i="3"/>
  <c r="K33" i="3"/>
  <c r="I33" i="3"/>
  <c r="K32" i="3"/>
  <c r="I32" i="3"/>
  <c r="K31" i="3"/>
  <c r="I31" i="3"/>
  <c r="K29" i="3"/>
  <c r="I29" i="3"/>
  <c r="K28" i="3"/>
  <c r="I28" i="3"/>
  <c r="I26" i="3"/>
  <c r="K22" i="3"/>
  <c r="I22" i="3"/>
  <c r="K21" i="3"/>
  <c r="I21" i="3"/>
  <c r="K20" i="3"/>
  <c r="I20" i="3"/>
  <c r="K18" i="3"/>
  <c r="I18" i="3"/>
  <c r="K17" i="3"/>
  <c r="I17" i="3"/>
  <c r="K16" i="3"/>
  <c r="I16" i="3"/>
  <c r="K15" i="3"/>
  <c r="I15" i="3"/>
  <c r="K10" i="3"/>
  <c r="K12" i="3"/>
  <c r="I12" i="3"/>
  <c r="I10" i="3"/>
  <c r="K139" i="4"/>
  <c r="K138" i="4"/>
  <c r="K136" i="4"/>
  <c r="K135" i="4"/>
  <c r="K106" i="4"/>
  <c r="K105" i="4"/>
  <c r="K104" i="4"/>
  <c r="K100" i="4"/>
  <c r="K95" i="4"/>
  <c r="K94" i="4"/>
  <c r="K90" i="4"/>
  <c r="K82" i="4"/>
  <c r="K79" i="4"/>
  <c r="K76" i="4"/>
  <c r="K73" i="4"/>
  <c r="K70" i="4"/>
  <c r="K69" i="4"/>
  <c r="K68" i="4"/>
  <c r="K55" i="4"/>
  <c r="K54" i="4"/>
  <c r="K50" i="4"/>
  <c r="K48" i="4"/>
  <c r="K43" i="4"/>
  <c r="K40" i="4"/>
  <c r="K39" i="4"/>
  <c r="K38" i="4"/>
  <c r="K37" i="4"/>
  <c r="K36" i="4"/>
  <c r="K30" i="4"/>
  <c r="K27" i="4"/>
  <c r="K23" i="4"/>
  <c r="K19" i="4"/>
  <c r="K17" i="4"/>
  <c r="K15" i="4"/>
  <c r="F143" i="3"/>
  <c r="G143" i="3"/>
  <c r="H143" i="3"/>
  <c r="E13" i="3"/>
  <c r="G142" i="3"/>
  <c r="H142" i="3"/>
  <c r="G141" i="3"/>
  <c r="H141" i="3"/>
  <c r="E142" i="3"/>
  <c r="F142" i="3"/>
  <c r="F141" i="3"/>
  <c r="E141" i="3"/>
  <c r="H107" i="3"/>
  <c r="H129" i="3" s="1"/>
  <c r="H106" i="3"/>
  <c r="H105" i="3"/>
  <c r="H104" i="3"/>
  <c r="F107" i="3"/>
  <c r="F129" i="3"/>
  <c r="G129" i="3"/>
  <c r="E129" i="3"/>
  <c r="H112" i="3"/>
  <c r="F112" i="3"/>
  <c r="E112" i="3"/>
  <c r="H102" i="3"/>
  <c r="F102" i="3"/>
  <c r="G102" i="3"/>
  <c r="E102" i="3"/>
  <c r="H98" i="3"/>
  <c r="F98" i="3"/>
  <c r="G98" i="3"/>
  <c r="H97" i="3"/>
  <c r="H96" i="3"/>
  <c r="H95" i="3"/>
  <c r="H94" i="3"/>
  <c r="H93" i="3"/>
  <c r="E98" i="3"/>
  <c r="F91" i="3"/>
  <c r="G91" i="3"/>
  <c r="H91" i="3"/>
  <c r="E91" i="3"/>
  <c r="H140" i="3"/>
  <c r="H139" i="3"/>
  <c r="H138" i="3"/>
  <c r="H137" i="3"/>
  <c r="H136" i="3"/>
  <c r="H135" i="3"/>
  <c r="H134" i="3"/>
  <c r="H133" i="3"/>
  <c r="H132" i="3"/>
  <c r="H111" i="3"/>
  <c r="H110" i="3"/>
  <c r="H109" i="3"/>
  <c r="H101" i="3"/>
  <c r="H100" i="3"/>
  <c r="H90" i="3"/>
  <c r="H89" i="3"/>
  <c r="H88" i="3"/>
  <c r="H87" i="3"/>
  <c r="F84" i="3"/>
  <c r="G84" i="3"/>
  <c r="H84" i="3"/>
  <c r="E84" i="3"/>
  <c r="E143" i="3" s="1"/>
  <c r="H71" i="3"/>
  <c r="G71" i="3"/>
  <c r="E71" i="3"/>
  <c r="H70" i="3"/>
  <c r="H69" i="3"/>
  <c r="H68" i="3"/>
  <c r="H67" i="3"/>
  <c r="H61" i="3"/>
  <c r="H62" i="3" s="1"/>
  <c r="F62" i="3"/>
  <c r="E62" i="3"/>
  <c r="F56" i="3"/>
  <c r="G56" i="3"/>
  <c r="H56" i="3"/>
  <c r="E56" i="3"/>
  <c r="H55" i="3"/>
  <c r="H54" i="3"/>
  <c r="H53" i="3"/>
  <c r="F51" i="3"/>
  <c r="G51" i="3"/>
  <c r="H51" i="3"/>
  <c r="E51" i="3"/>
  <c r="H50" i="3"/>
  <c r="H49" i="3"/>
  <c r="H48" i="3"/>
  <c r="H47" i="3"/>
  <c r="H46" i="3"/>
  <c r="G35" i="3"/>
  <c r="G44" i="3" s="1"/>
  <c r="F38" i="3"/>
  <c r="F44" i="3" s="1"/>
  <c r="E44" i="3"/>
  <c r="H43" i="3"/>
  <c r="H42" i="3"/>
  <c r="H41" i="3"/>
  <c r="H40" i="3"/>
  <c r="H39" i="3"/>
  <c r="H38" i="3"/>
  <c r="H37" i="3"/>
  <c r="H36" i="3"/>
  <c r="H34" i="3"/>
  <c r="H33" i="3"/>
  <c r="H32" i="3"/>
  <c r="H31" i="3"/>
  <c r="H30" i="3"/>
  <c r="H29" i="3"/>
  <c r="H28" i="3"/>
  <c r="H27" i="3"/>
  <c r="H26" i="3"/>
  <c r="H24" i="3"/>
  <c r="H16" i="3"/>
  <c r="H17" i="3"/>
  <c r="H18" i="3"/>
  <c r="H19" i="3"/>
  <c r="H20" i="3"/>
  <c r="H21" i="3"/>
  <c r="H22" i="3"/>
  <c r="H23" i="3"/>
  <c r="H15" i="3"/>
  <c r="F24" i="3"/>
  <c r="G24" i="3"/>
  <c r="E24" i="3"/>
  <c r="G13" i="3"/>
  <c r="F13" i="3"/>
  <c r="H11" i="3"/>
  <c r="H13" i="3" s="1"/>
  <c r="H12" i="3"/>
  <c r="H10" i="3"/>
  <c r="K101" i="2"/>
  <c r="K98" i="2"/>
  <c r="K97" i="2"/>
  <c r="K96" i="2"/>
  <c r="K95" i="2"/>
  <c r="K78" i="2"/>
  <c r="K71" i="2"/>
  <c r="K33" i="2"/>
  <c r="K23" i="2"/>
  <c r="K22" i="2"/>
  <c r="K21" i="2"/>
  <c r="K20" i="2"/>
  <c r="K18" i="2"/>
  <c r="K17" i="2"/>
  <c r="K16" i="2"/>
  <c r="K13" i="2"/>
  <c r="K14" i="2" s="1"/>
  <c r="K10" i="2"/>
  <c r="F31" i="1"/>
  <c r="F49" i="1" s="1"/>
  <c r="F105" i="1" s="1"/>
  <c r="G105" i="1"/>
  <c r="H105" i="1"/>
  <c r="L105" i="1"/>
  <c r="E105" i="1"/>
  <c r="K102" i="1"/>
  <c r="K100" i="1"/>
  <c r="K99" i="1"/>
  <c r="K96" i="1"/>
  <c r="K95" i="1"/>
  <c r="K94" i="1"/>
  <c r="I102" i="1"/>
  <c r="I100" i="1"/>
  <c r="I99" i="1"/>
  <c r="I96" i="1"/>
  <c r="I95" i="1"/>
  <c r="I94" i="1"/>
  <c r="F104" i="1"/>
  <c r="G104" i="1"/>
  <c r="H104" i="1"/>
  <c r="F103" i="1"/>
  <c r="G103" i="1"/>
  <c r="H103" i="1"/>
  <c r="H95" i="1"/>
  <c r="H96" i="1"/>
  <c r="H97" i="1"/>
  <c r="H98" i="1"/>
  <c r="H99" i="1"/>
  <c r="H100" i="1"/>
  <c r="H101" i="1"/>
  <c r="H102" i="1"/>
  <c r="H94" i="1"/>
  <c r="E104" i="1"/>
  <c r="E103" i="1"/>
  <c r="F91" i="1"/>
  <c r="G91" i="1"/>
  <c r="H91" i="1"/>
  <c r="I91" i="1"/>
  <c r="J91" i="1"/>
  <c r="K91" i="1"/>
  <c r="L91" i="1"/>
  <c r="M91" i="1"/>
  <c r="E91" i="1"/>
  <c r="M79" i="1"/>
  <c r="M78" i="1"/>
  <c r="K79" i="1"/>
  <c r="I79" i="1"/>
  <c r="H80" i="1"/>
  <c r="F80" i="1"/>
  <c r="H79" i="1"/>
  <c r="L72" i="1"/>
  <c r="L71" i="1"/>
  <c r="J71" i="1"/>
  <c r="J72" i="1" s="1"/>
  <c r="K72" i="1"/>
  <c r="K71" i="1"/>
  <c r="I72" i="1"/>
  <c r="I71" i="1"/>
  <c r="M67" i="1"/>
  <c r="K67" i="1"/>
  <c r="I67" i="1"/>
  <c r="F69" i="1"/>
  <c r="G69" i="1"/>
  <c r="H69" i="1"/>
  <c r="E69" i="1"/>
  <c r="L49" i="1"/>
  <c r="K47" i="1"/>
  <c r="K46" i="1"/>
  <c r="I47" i="1"/>
  <c r="I46" i="1"/>
  <c r="G49" i="1"/>
  <c r="H49" i="1"/>
  <c r="E49" i="1"/>
  <c r="F48" i="1"/>
  <c r="G48" i="1"/>
  <c r="H48" i="1"/>
  <c r="E48" i="1"/>
  <c r="H47" i="1"/>
  <c r="H46" i="1"/>
  <c r="K43" i="1"/>
  <c r="K42" i="1"/>
  <c r="I43" i="1"/>
  <c r="H43" i="1"/>
  <c r="I42" i="1"/>
  <c r="H44" i="1"/>
  <c r="F44" i="1"/>
  <c r="H42" i="1"/>
  <c r="M39" i="1"/>
  <c r="K39" i="1"/>
  <c r="K38" i="1"/>
  <c r="K36" i="1"/>
  <c r="I39" i="1"/>
  <c r="I38" i="1"/>
  <c r="I36" i="1"/>
  <c r="F40" i="1"/>
  <c r="G40" i="1"/>
  <c r="H40" i="1"/>
  <c r="E40" i="1"/>
  <c r="H39" i="1"/>
  <c r="H36" i="1"/>
  <c r="H30" i="1"/>
  <c r="M30" i="1" s="1"/>
  <c r="H29" i="1"/>
  <c r="K29" i="1"/>
  <c r="M29" i="1" s="1"/>
  <c r="M26" i="1"/>
  <c r="M27" i="1"/>
  <c r="M28" i="1"/>
  <c r="I30" i="1"/>
  <c r="I29" i="1"/>
  <c r="K28" i="1"/>
  <c r="I28" i="1"/>
  <c r="E31" i="1"/>
  <c r="I41" i="8"/>
  <c r="C22" i="5"/>
  <c r="C14" i="5"/>
  <c r="H35" i="3" l="1"/>
  <c r="H44" i="3"/>
  <c r="H31" i="1"/>
  <c r="H140" i="4" l="1"/>
  <c r="K140" i="4" s="1"/>
  <c r="H137" i="4"/>
  <c r="K137" i="4" s="1"/>
  <c r="J141" i="4"/>
  <c r="J142" i="4" s="1"/>
  <c r="H134" i="4"/>
  <c r="H132" i="4"/>
  <c r="K132" i="4" s="1"/>
  <c r="H101" i="4"/>
  <c r="K101" i="4" s="1"/>
  <c r="H97" i="4"/>
  <c r="K97" i="4" s="1"/>
  <c r="H96" i="4"/>
  <c r="K96" i="4" s="1"/>
  <c r="J98" i="4"/>
  <c r="H87" i="4"/>
  <c r="E91" i="4"/>
  <c r="H89" i="4"/>
  <c r="K89" i="4" s="1"/>
  <c r="I102" i="4"/>
  <c r="J102" i="4"/>
  <c r="H53" i="4"/>
  <c r="K53" i="4" s="1"/>
  <c r="I91" i="4"/>
  <c r="J91" i="4"/>
  <c r="I65" i="4"/>
  <c r="J65" i="4"/>
  <c r="H64" i="4"/>
  <c r="K64" i="4" s="1"/>
  <c r="I59" i="4"/>
  <c r="J59" i="4"/>
  <c r="H58" i="4"/>
  <c r="I56" i="4"/>
  <c r="J56" i="4"/>
  <c r="I51" i="4"/>
  <c r="J51" i="4"/>
  <c r="H49" i="4"/>
  <c r="K49" i="4" s="1"/>
  <c r="H47" i="4"/>
  <c r="K47" i="4" s="1"/>
  <c r="H46" i="4"/>
  <c r="K46" i="4" s="1"/>
  <c r="K31" i="4"/>
  <c r="K28" i="4"/>
  <c r="K42" i="4"/>
  <c r="I44" i="4"/>
  <c r="J44" i="4"/>
  <c r="K35" i="4"/>
  <c r="I24" i="4"/>
  <c r="J24" i="4"/>
  <c r="H18" i="4"/>
  <c r="K18" i="4" s="1"/>
  <c r="H12" i="4"/>
  <c r="K12" i="4" s="1"/>
  <c r="I13" i="4"/>
  <c r="J13" i="4"/>
  <c r="H10" i="4"/>
  <c r="K10" i="4" s="1"/>
  <c r="H102" i="2"/>
  <c r="K102" i="2" s="1"/>
  <c r="I103" i="2"/>
  <c r="I104" i="2" s="1"/>
  <c r="J103" i="2"/>
  <c r="J104" i="2" s="1"/>
  <c r="H99" i="2"/>
  <c r="K99" i="2" s="1"/>
  <c r="J69" i="2"/>
  <c r="J44" i="2"/>
  <c r="J40" i="2"/>
  <c r="H36" i="2"/>
  <c r="I49" i="2"/>
  <c r="D18" i="7"/>
  <c r="D17" i="7"/>
  <c r="E32" i="5"/>
  <c r="E11" i="5"/>
  <c r="E14" i="5" s="1"/>
  <c r="F9" i="8" s="1"/>
  <c r="D11" i="5"/>
  <c r="D14" i="5" s="1"/>
  <c r="D9" i="8" s="1"/>
  <c r="G134" i="4" l="1"/>
  <c r="K134" i="4"/>
  <c r="H59" i="4"/>
  <c r="K58" i="4"/>
  <c r="J84" i="4"/>
  <c r="I84" i="4"/>
  <c r="J49" i="2"/>
  <c r="P129" i="4" l="1"/>
  <c r="L139" i="4"/>
  <c r="L136" i="4"/>
  <c r="L135" i="4"/>
  <c r="L100" i="4"/>
  <c r="L95" i="4"/>
  <c r="L94" i="4"/>
  <c r="L90" i="4"/>
  <c r="M71" i="4"/>
  <c r="M65" i="4"/>
  <c r="M62" i="4"/>
  <c r="M59" i="4"/>
  <c r="M56" i="4"/>
  <c r="M51" i="4"/>
  <c r="M44" i="4"/>
  <c r="M24" i="4"/>
  <c r="M13" i="4"/>
  <c r="L70" i="4"/>
  <c r="L69" i="4"/>
  <c r="L68" i="4"/>
  <c r="L67" i="4"/>
  <c r="L55" i="4"/>
  <c r="L54" i="4"/>
  <c r="L50" i="4"/>
  <c r="L48" i="4"/>
  <c r="L43" i="4"/>
  <c r="L37" i="4"/>
  <c r="L36" i="4"/>
  <c r="L30" i="4"/>
  <c r="L27" i="4"/>
  <c r="L23" i="4"/>
  <c r="L20" i="4"/>
  <c r="L19" i="4"/>
  <c r="L15" i="4"/>
  <c r="L11" i="4"/>
  <c r="K112" i="4"/>
  <c r="N94" i="4"/>
  <c r="K65" i="4"/>
  <c r="N48" i="4"/>
  <c r="N30" i="4"/>
  <c r="G140" i="4"/>
  <c r="F141" i="4"/>
  <c r="F142" i="4" s="1"/>
  <c r="G101" i="4"/>
  <c r="G97" i="4"/>
  <c r="G96" i="4"/>
  <c r="F98" i="4"/>
  <c r="G137" i="4"/>
  <c r="G132" i="4"/>
  <c r="F71" i="4"/>
  <c r="H65" i="4"/>
  <c r="L64" i="4"/>
  <c r="L65" i="4" s="1"/>
  <c r="E17" i="7" s="1"/>
  <c r="G62" i="4"/>
  <c r="F62" i="4"/>
  <c r="G58" i="4"/>
  <c r="G59" i="4" s="1"/>
  <c r="G53" i="4"/>
  <c r="G49" i="4"/>
  <c r="G47" i="4"/>
  <c r="F51" i="4"/>
  <c r="G42" i="4"/>
  <c r="G35" i="4"/>
  <c r="G31" i="4"/>
  <c r="G28" i="4"/>
  <c r="L26" i="4"/>
  <c r="G18" i="4"/>
  <c r="F24" i="4"/>
  <c r="G12" i="4"/>
  <c r="H139" i="4"/>
  <c r="N139" i="4" s="1"/>
  <c r="H138" i="4"/>
  <c r="H136" i="4"/>
  <c r="G136" i="4" s="1"/>
  <c r="H135" i="4"/>
  <c r="G135" i="4" s="1"/>
  <c r="H133" i="4"/>
  <c r="H100" i="4"/>
  <c r="G100" i="4" s="1"/>
  <c r="H95" i="4"/>
  <c r="G95" i="4" s="1"/>
  <c r="H94" i="4"/>
  <c r="G94" i="4" s="1"/>
  <c r="H93" i="4"/>
  <c r="K93" i="4" s="1"/>
  <c r="H90" i="4"/>
  <c r="N90" i="4" s="1"/>
  <c r="H88" i="4"/>
  <c r="K88" i="4" s="1"/>
  <c r="H70" i="4"/>
  <c r="N70" i="4" s="1"/>
  <c r="H69" i="4"/>
  <c r="N69" i="4" s="1"/>
  <c r="H68" i="4"/>
  <c r="G68" i="4" s="1"/>
  <c r="O68" i="4" s="1"/>
  <c r="H67" i="4"/>
  <c r="H61" i="4"/>
  <c r="K61" i="4" s="1"/>
  <c r="H55" i="4"/>
  <c r="H54" i="4"/>
  <c r="H50" i="4"/>
  <c r="G50" i="4" s="1"/>
  <c r="H48" i="4"/>
  <c r="N43" i="4"/>
  <c r="K41" i="4"/>
  <c r="G40" i="4"/>
  <c r="G39" i="4"/>
  <c r="G38" i="4"/>
  <c r="N37" i="4"/>
  <c r="N36" i="4"/>
  <c r="K34" i="4"/>
  <c r="K33" i="4"/>
  <c r="K32" i="4"/>
  <c r="G30" i="4"/>
  <c r="K29" i="4"/>
  <c r="K26" i="4"/>
  <c r="H23" i="4"/>
  <c r="G23" i="4" s="1"/>
  <c r="H22" i="4"/>
  <c r="K20" i="4"/>
  <c r="H19" i="4"/>
  <c r="N19" i="4" s="1"/>
  <c r="H17" i="4"/>
  <c r="H16" i="4"/>
  <c r="K16" i="4" s="1"/>
  <c r="H15" i="4"/>
  <c r="H11" i="4"/>
  <c r="L102" i="2"/>
  <c r="N102" i="2" s="1"/>
  <c r="H95" i="2"/>
  <c r="H96" i="2"/>
  <c r="G96" i="2" s="1"/>
  <c r="H97" i="2"/>
  <c r="G97" i="2" s="1"/>
  <c r="H98" i="2"/>
  <c r="H100" i="2"/>
  <c r="K100" i="2" s="1"/>
  <c r="H101" i="2"/>
  <c r="H94" i="2"/>
  <c r="M69" i="2"/>
  <c r="H69" i="2"/>
  <c r="F69" i="2"/>
  <c r="F80" i="2"/>
  <c r="P49" i="2"/>
  <c r="N48" i="2"/>
  <c r="H44" i="2"/>
  <c r="M103" i="2"/>
  <c r="M104" i="2" s="1"/>
  <c r="G101" i="2"/>
  <c r="G99" i="2"/>
  <c r="G98" i="2"/>
  <c r="G95" i="2"/>
  <c r="G67" i="2"/>
  <c r="G43" i="2"/>
  <c r="G38" i="2"/>
  <c r="G37" i="2"/>
  <c r="L39" i="2"/>
  <c r="N39" i="2" s="1"/>
  <c r="G36" i="2"/>
  <c r="P103" i="2"/>
  <c r="P104" i="2" s="1"/>
  <c r="L101" i="2"/>
  <c r="L98" i="2"/>
  <c r="N98" i="2"/>
  <c r="L97" i="2"/>
  <c r="L71" i="2"/>
  <c r="K64" i="2"/>
  <c r="L37" i="2"/>
  <c r="L27" i="2"/>
  <c r="G31" i="2"/>
  <c r="F26" i="2"/>
  <c r="L26" i="2" s="1"/>
  <c r="F27" i="2"/>
  <c r="F28" i="2"/>
  <c r="F25" i="2"/>
  <c r="L25" i="2" s="1"/>
  <c r="H26" i="2"/>
  <c r="H27" i="2"/>
  <c r="H28" i="2"/>
  <c r="H29" i="2"/>
  <c r="H30" i="2"/>
  <c r="H25" i="2"/>
  <c r="K31" i="2" s="1"/>
  <c r="L141" i="3"/>
  <c r="L142" i="3" s="1"/>
  <c r="M134" i="3"/>
  <c r="M132" i="3"/>
  <c r="L137" i="4"/>
  <c r="L134" i="4"/>
  <c r="J133" i="3"/>
  <c r="L132" i="4"/>
  <c r="L112" i="3"/>
  <c r="M111" i="3"/>
  <c r="M112" i="3" s="1"/>
  <c r="L111" i="4"/>
  <c r="L102" i="3"/>
  <c r="M101" i="3"/>
  <c r="L98" i="3"/>
  <c r="J96" i="3"/>
  <c r="M93" i="3"/>
  <c r="J97" i="3"/>
  <c r="L96" i="4"/>
  <c r="L91" i="3"/>
  <c r="M89" i="3"/>
  <c r="M87" i="3"/>
  <c r="L88" i="4"/>
  <c r="M61" i="3"/>
  <c r="M62" i="3" s="1"/>
  <c r="K59" i="3"/>
  <c r="D15" i="7" s="1"/>
  <c r="M58" i="3"/>
  <c r="M59" i="3" s="1"/>
  <c r="J58" i="3"/>
  <c r="K56" i="3"/>
  <c r="D14" i="7" s="1"/>
  <c r="L56" i="3"/>
  <c r="J53" i="3"/>
  <c r="M49" i="3"/>
  <c r="M47" i="3"/>
  <c r="M46" i="3"/>
  <c r="L49" i="4"/>
  <c r="L47" i="4"/>
  <c r="M42" i="3"/>
  <c r="M39" i="3"/>
  <c r="M34" i="3"/>
  <c r="M33" i="3"/>
  <c r="M32" i="3"/>
  <c r="M29" i="3"/>
  <c r="J28" i="3"/>
  <c r="L42" i="4"/>
  <c r="J41" i="3"/>
  <c r="L40" i="4"/>
  <c r="L39" i="4"/>
  <c r="L38" i="4"/>
  <c r="L35" i="4"/>
  <c r="L34" i="4"/>
  <c r="J31" i="3"/>
  <c r="M22" i="3"/>
  <c r="M21" i="3"/>
  <c r="M17" i="3"/>
  <c r="L22" i="4"/>
  <c r="L21" i="4"/>
  <c r="L18" i="4"/>
  <c r="L17" i="4"/>
  <c r="L24" i="3"/>
  <c r="L13" i="3"/>
  <c r="M140" i="3"/>
  <c r="M139" i="3"/>
  <c r="M138" i="3"/>
  <c r="M136" i="3"/>
  <c r="M135" i="3"/>
  <c r="M133" i="3"/>
  <c r="M100" i="3"/>
  <c r="M97" i="3"/>
  <c r="M95" i="3"/>
  <c r="M94" i="3"/>
  <c r="M90" i="3"/>
  <c r="M64" i="3"/>
  <c r="M55" i="3"/>
  <c r="M54" i="3"/>
  <c r="M53" i="3"/>
  <c r="M50" i="3"/>
  <c r="M48" i="3"/>
  <c r="M43" i="3"/>
  <c r="M41" i="3"/>
  <c r="M38" i="3"/>
  <c r="M37" i="3"/>
  <c r="M36" i="3"/>
  <c r="M31" i="3"/>
  <c r="M30" i="3"/>
  <c r="M27" i="3"/>
  <c r="M26" i="3"/>
  <c r="M23" i="3"/>
  <c r="M20" i="3"/>
  <c r="M19" i="3"/>
  <c r="M15" i="3"/>
  <c r="M11" i="3"/>
  <c r="J139" i="3"/>
  <c r="J136" i="3"/>
  <c r="J135" i="3"/>
  <c r="J134" i="3"/>
  <c r="O134" i="4" s="1"/>
  <c r="J100" i="3"/>
  <c r="J95" i="3"/>
  <c r="J94" i="3"/>
  <c r="J90" i="3"/>
  <c r="J55" i="3"/>
  <c r="J54" i="3"/>
  <c r="J50" i="3"/>
  <c r="J48" i="3"/>
  <c r="J43" i="3"/>
  <c r="J38" i="3"/>
  <c r="J37" i="3"/>
  <c r="J36" i="3"/>
  <c r="J32" i="3"/>
  <c r="J30" i="3"/>
  <c r="J27" i="3"/>
  <c r="J26" i="3"/>
  <c r="J23" i="3"/>
  <c r="J20" i="3"/>
  <c r="J19" i="3"/>
  <c r="J15" i="3"/>
  <c r="J11" i="3"/>
  <c r="J12" i="3"/>
  <c r="L10" i="4"/>
  <c r="E141" i="4"/>
  <c r="E142" i="4" s="1"/>
  <c r="I129" i="4"/>
  <c r="I143" i="4" s="1"/>
  <c r="J129" i="4"/>
  <c r="J143" i="4" s="1"/>
  <c r="M129" i="4"/>
  <c r="E102" i="4"/>
  <c r="E98" i="4"/>
  <c r="P84" i="4"/>
  <c r="P143" i="4" s="1"/>
  <c r="E71" i="4"/>
  <c r="E65" i="4"/>
  <c r="E62" i="4"/>
  <c r="E59" i="4"/>
  <c r="E56" i="4"/>
  <c r="E51" i="4"/>
  <c r="E44" i="4"/>
  <c r="E24" i="4"/>
  <c r="E13" i="4"/>
  <c r="E104" i="2"/>
  <c r="P91" i="2"/>
  <c r="I91" i="2"/>
  <c r="I105" i="2" s="1"/>
  <c r="J91" i="2"/>
  <c r="J105" i="2" s="1"/>
  <c r="E80" i="2"/>
  <c r="E72" i="2"/>
  <c r="E69" i="2"/>
  <c r="E44" i="2"/>
  <c r="E40" i="2"/>
  <c r="E49" i="2" s="1"/>
  <c r="M97" i="1"/>
  <c r="M98" i="1"/>
  <c r="M101" i="1"/>
  <c r="M102" i="1"/>
  <c r="M95" i="1"/>
  <c r="J97" i="1"/>
  <c r="O97" i="2" s="1"/>
  <c r="J98" i="1"/>
  <c r="O98" i="2" s="1"/>
  <c r="J101" i="1"/>
  <c r="O101" i="2" s="1"/>
  <c r="L100" i="2"/>
  <c r="L96" i="2"/>
  <c r="L95" i="2"/>
  <c r="L94" i="2"/>
  <c r="L80" i="1"/>
  <c r="M80" i="1"/>
  <c r="I80" i="1"/>
  <c r="L69" i="1"/>
  <c r="M69" i="1"/>
  <c r="I69" i="1"/>
  <c r="J65" i="1"/>
  <c r="L65" i="1"/>
  <c r="D28" i="5"/>
  <c r="D29" i="5" s="1"/>
  <c r="D12" i="8" s="1"/>
  <c r="I65" i="1"/>
  <c r="M47" i="1"/>
  <c r="M46" i="1"/>
  <c r="L47" i="2"/>
  <c r="L43" i="1"/>
  <c r="L42" i="1"/>
  <c r="L43" i="2"/>
  <c r="M38" i="1"/>
  <c r="M40" i="1" s="1"/>
  <c r="L37" i="1"/>
  <c r="J37" i="1"/>
  <c r="O37" i="2" s="1"/>
  <c r="J38" i="1"/>
  <c r="L38" i="2"/>
  <c r="I40" i="1"/>
  <c r="K26" i="1"/>
  <c r="K27" i="1"/>
  <c r="J27" i="1" s="1"/>
  <c r="O27" i="2" s="1"/>
  <c r="L30" i="2"/>
  <c r="L37" i="9"/>
  <c r="Z15" i="9"/>
  <c r="I42" i="8"/>
  <c r="C49" i="7"/>
  <c r="C50" i="7" s="1"/>
  <c r="C37" i="7"/>
  <c r="C45" i="7" s="1"/>
  <c r="C19" i="7"/>
  <c r="C11" i="7"/>
  <c r="C21" i="5"/>
  <c r="C45" i="5"/>
  <c r="C46" i="5" s="1"/>
  <c r="E40" i="5"/>
  <c r="D40" i="5"/>
  <c r="D14" i="8" s="1"/>
  <c r="C35" i="5"/>
  <c r="C41" i="5" s="1"/>
  <c r="H141" i="4" l="1"/>
  <c r="H142" i="4" s="1"/>
  <c r="K133" i="4"/>
  <c r="O97" i="4"/>
  <c r="E129" i="4"/>
  <c r="G67" i="4"/>
  <c r="O67" i="4" s="1"/>
  <c r="O71" i="4" s="1"/>
  <c r="K67" i="4"/>
  <c r="G34" i="4"/>
  <c r="G22" i="4"/>
  <c r="K22" i="4"/>
  <c r="G21" i="4"/>
  <c r="K21" i="4"/>
  <c r="N21" i="4" s="1"/>
  <c r="H13" i="4"/>
  <c r="K11" i="4"/>
  <c r="N11" i="4" s="1"/>
  <c r="O96" i="4"/>
  <c r="G94" i="2"/>
  <c r="K94" i="2"/>
  <c r="H80" i="2"/>
  <c r="K79" i="2"/>
  <c r="H40" i="2"/>
  <c r="K40" i="2"/>
  <c r="N26" i="4"/>
  <c r="M102" i="3"/>
  <c r="C29" i="7"/>
  <c r="C51" i="7" s="1"/>
  <c r="C47" i="5"/>
  <c r="M51" i="3"/>
  <c r="J96" i="1"/>
  <c r="O96" i="2" s="1"/>
  <c r="M96" i="3"/>
  <c r="M98" i="3" s="1"/>
  <c r="K91" i="3"/>
  <c r="D32" i="7" s="1"/>
  <c r="N97" i="2"/>
  <c r="N101" i="2"/>
  <c r="L42" i="2"/>
  <c r="L44" i="2" s="1"/>
  <c r="E19" i="5" s="1"/>
  <c r="H103" i="2"/>
  <c r="H104" i="2" s="1"/>
  <c r="N34" i="4"/>
  <c r="H51" i="4"/>
  <c r="G55" i="4"/>
  <c r="O55" i="4" s="1"/>
  <c r="L44" i="1"/>
  <c r="L99" i="2"/>
  <c r="L103" i="2" s="1"/>
  <c r="E84" i="4"/>
  <c r="J33" i="3"/>
  <c r="L64" i="2"/>
  <c r="M64" i="2" s="1"/>
  <c r="M65" i="2" s="1"/>
  <c r="G16" i="4"/>
  <c r="G69" i="4"/>
  <c r="O69" i="4" s="1"/>
  <c r="O38" i="2"/>
  <c r="O53" i="4"/>
  <c r="L67" i="2"/>
  <c r="N67" i="2" s="1"/>
  <c r="N69" i="2" s="1"/>
  <c r="H91" i="2"/>
  <c r="N138" i="4"/>
  <c r="G17" i="4"/>
  <c r="F59" i="4"/>
  <c r="G70" i="4"/>
  <c r="O70" i="4" s="1"/>
  <c r="L89" i="4"/>
  <c r="N89" i="4" s="1"/>
  <c r="N38" i="4"/>
  <c r="O58" i="4"/>
  <c r="O59" i="4" s="1"/>
  <c r="K65" i="1"/>
  <c r="J138" i="3"/>
  <c r="L28" i="2"/>
  <c r="N27" i="4"/>
  <c r="N55" i="4"/>
  <c r="H98" i="4"/>
  <c r="G19" i="4"/>
  <c r="O19" i="4" s="1"/>
  <c r="N39" i="4"/>
  <c r="I48" i="1"/>
  <c r="J10" i="3"/>
  <c r="J13" i="3" s="1"/>
  <c r="I56" i="3"/>
  <c r="J140" i="3"/>
  <c r="O140" i="4" s="1"/>
  <c r="H31" i="2"/>
  <c r="F31" i="2"/>
  <c r="K44" i="2"/>
  <c r="F103" i="2"/>
  <c r="F104" i="2" s="1"/>
  <c r="N17" i="4"/>
  <c r="F44" i="4"/>
  <c r="G46" i="4"/>
  <c r="F91" i="4"/>
  <c r="K71" i="4"/>
  <c r="L138" i="4"/>
  <c r="G29" i="4"/>
  <c r="G87" i="4"/>
  <c r="L87" i="4"/>
  <c r="N87" i="4" s="1"/>
  <c r="J26" i="1"/>
  <c r="O26" i="2" s="1"/>
  <c r="M48" i="1"/>
  <c r="I44" i="3"/>
  <c r="L129" i="3"/>
  <c r="K48" i="2"/>
  <c r="G32" i="4"/>
  <c r="G10" i="4"/>
  <c r="O10" i="4" s="1"/>
  <c r="G33" i="4"/>
  <c r="G93" i="4"/>
  <c r="N135" i="4"/>
  <c r="G98" i="4"/>
  <c r="G102" i="4"/>
  <c r="G41" i="4"/>
  <c r="O41" i="4" s="1"/>
  <c r="O31" i="4"/>
  <c r="G26" i="4"/>
  <c r="O26" i="4" s="1"/>
  <c r="G89" i="4"/>
  <c r="G133" i="4"/>
  <c r="O133" i="4" s="1"/>
  <c r="H91" i="4"/>
  <c r="H102" i="4"/>
  <c r="L28" i="4"/>
  <c r="N28" i="4" s="1"/>
  <c r="M84" i="4"/>
  <c r="K30" i="1"/>
  <c r="J36" i="1"/>
  <c r="I44" i="1"/>
  <c r="J79" i="1"/>
  <c r="O30" i="4"/>
  <c r="O50" i="4"/>
  <c r="M56" i="3"/>
  <c r="L84" i="3"/>
  <c r="L143" i="3" s="1"/>
  <c r="L32" i="4"/>
  <c r="L36" i="2"/>
  <c r="L40" i="2" s="1"/>
  <c r="E18" i="5" s="1"/>
  <c r="G27" i="4"/>
  <c r="O27" i="4" s="1"/>
  <c r="G43" i="4"/>
  <c r="O43" i="4" s="1"/>
  <c r="G48" i="4"/>
  <c r="G64" i="4"/>
  <c r="H71" i="4"/>
  <c r="G90" i="4"/>
  <c r="O90" i="4" s="1"/>
  <c r="F102" i="4"/>
  <c r="N22" i="4"/>
  <c r="N40" i="4"/>
  <c r="N50" i="4"/>
  <c r="N68" i="4"/>
  <c r="N95" i="4"/>
  <c r="L53" i="4"/>
  <c r="L56" i="4" s="1"/>
  <c r="E14" i="7" s="1"/>
  <c r="J29" i="3"/>
  <c r="O29" i="4" s="1"/>
  <c r="L33" i="4"/>
  <c r="N33" i="4" s="1"/>
  <c r="E91" i="2"/>
  <c r="E105" i="2" s="1"/>
  <c r="O136" i="4"/>
  <c r="I24" i="3"/>
  <c r="J40" i="3"/>
  <c r="O40" i="4" s="1"/>
  <c r="J59" i="3"/>
  <c r="L101" i="4"/>
  <c r="L102" i="4" s="1"/>
  <c r="E34" i="7" s="1"/>
  <c r="M37" i="2"/>
  <c r="L46" i="2"/>
  <c r="K103" i="2"/>
  <c r="K104" i="2" s="1"/>
  <c r="G39" i="2"/>
  <c r="G40" i="2" s="1"/>
  <c r="H24" i="4"/>
  <c r="H56" i="4"/>
  <c r="G20" i="4"/>
  <c r="O20" i="4" s="1"/>
  <c r="G37" i="4"/>
  <c r="O37" i="4" s="1"/>
  <c r="N42" i="4"/>
  <c r="N54" i="4"/>
  <c r="N136" i="4"/>
  <c r="N96" i="2"/>
  <c r="J43" i="1"/>
  <c r="O43" i="2" s="1"/>
  <c r="J67" i="1"/>
  <c r="J69" i="1" s="1"/>
  <c r="J61" i="3"/>
  <c r="J62" i="3" s="1"/>
  <c r="N38" i="2"/>
  <c r="N40" i="2" s="1"/>
  <c r="K141" i="3"/>
  <c r="F40" i="2"/>
  <c r="F65" i="4"/>
  <c r="G138" i="4"/>
  <c r="N100" i="4"/>
  <c r="J99" i="1"/>
  <c r="O99" i="2" s="1"/>
  <c r="I103" i="1"/>
  <c r="I104" i="1" s="1"/>
  <c r="O32" i="4"/>
  <c r="F44" i="2"/>
  <c r="G11" i="4"/>
  <c r="G36" i="4"/>
  <c r="O36" i="4" s="1"/>
  <c r="H44" i="4"/>
  <c r="N23" i="4"/>
  <c r="I31" i="1"/>
  <c r="K44" i="1"/>
  <c r="D19" i="5" s="1"/>
  <c r="K103" i="1"/>
  <c r="O23" i="4"/>
  <c r="O38" i="4"/>
  <c r="O94" i="4"/>
  <c r="M10" i="3"/>
  <c r="M28" i="3"/>
  <c r="L93" i="4"/>
  <c r="N93" i="4" s="1"/>
  <c r="N25" i="2"/>
  <c r="N31" i="2" s="1"/>
  <c r="L29" i="2"/>
  <c r="N29" i="2" s="1"/>
  <c r="N95" i="2"/>
  <c r="P105" i="2"/>
  <c r="L79" i="2"/>
  <c r="L80" i="2" s="1"/>
  <c r="F56" i="4"/>
  <c r="H62" i="4"/>
  <c r="G139" i="4"/>
  <c r="O139" i="4" s="1"/>
  <c r="N18" i="4"/>
  <c r="L41" i="4"/>
  <c r="N41" i="4" s="1"/>
  <c r="L71" i="4"/>
  <c r="E18" i="7" s="1"/>
  <c r="O48" i="4"/>
  <c r="O135" i="4"/>
  <c r="L36" i="1"/>
  <c r="L40" i="1" s="1"/>
  <c r="L12" i="4"/>
  <c r="N12" i="4" s="1"/>
  <c r="O95" i="4"/>
  <c r="I91" i="3"/>
  <c r="O36" i="2"/>
  <c r="G100" i="2"/>
  <c r="G15" i="4"/>
  <c r="O15" i="4" s="1"/>
  <c r="G54" i="4"/>
  <c r="G56" i="4" s="1"/>
  <c r="G88" i="4"/>
  <c r="N64" i="4"/>
  <c r="N65" i="4" s="1"/>
  <c r="O28" i="4"/>
  <c r="N20" i="4"/>
  <c r="O12" i="4"/>
  <c r="G69" i="2"/>
  <c r="N35" i="4"/>
  <c r="N88" i="4"/>
  <c r="N137" i="4"/>
  <c r="L112" i="4"/>
  <c r="E36" i="7" s="1"/>
  <c r="N111" i="4"/>
  <c r="N112" i="4" s="1"/>
  <c r="N47" i="4"/>
  <c r="N10" i="4"/>
  <c r="N49" i="4"/>
  <c r="N134" i="4"/>
  <c r="N96" i="4"/>
  <c r="L97" i="4"/>
  <c r="N97" i="4" s="1"/>
  <c r="M12" i="3"/>
  <c r="I98" i="3"/>
  <c r="I102" i="3"/>
  <c r="I112" i="3"/>
  <c r="I142" i="3"/>
  <c r="L16" i="4"/>
  <c r="L24" i="4" s="1"/>
  <c r="E9" i="7" s="1"/>
  <c r="K59" i="4"/>
  <c r="N67" i="4"/>
  <c r="N132" i="4"/>
  <c r="O100" i="4"/>
  <c r="K51" i="3"/>
  <c r="D13" i="7" s="1"/>
  <c r="I13" i="3"/>
  <c r="J111" i="3"/>
  <c r="K13" i="3"/>
  <c r="D8" i="7" s="1"/>
  <c r="J46" i="3"/>
  <c r="J56" i="3"/>
  <c r="I62" i="3"/>
  <c r="L46" i="4"/>
  <c r="L51" i="4" s="1"/>
  <c r="E13" i="7" s="1"/>
  <c r="L58" i="4"/>
  <c r="L59" i="4" s="1"/>
  <c r="E15" i="7" s="1"/>
  <c r="J21" i="3"/>
  <c r="M88" i="3"/>
  <c r="M91" i="3" s="1"/>
  <c r="K98" i="3"/>
  <c r="D33" i="7" s="1"/>
  <c r="K112" i="3"/>
  <c r="L29" i="4"/>
  <c r="L61" i="4"/>
  <c r="L62" i="4" s="1"/>
  <c r="E16" i="7" s="1"/>
  <c r="L140" i="4"/>
  <c r="N140" i="4" s="1"/>
  <c r="N15" i="4"/>
  <c r="O61" i="4"/>
  <c r="O62" i="4" s="1"/>
  <c r="J35" i="3"/>
  <c r="O35" i="4" s="1"/>
  <c r="K62" i="3"/>
  <c r="K102" i="3"/>
  <c r="D34" i="7" s="1"/>
  <c r="J137" i="3"/>
  <c r="O137" i="4" s="1"/>
  <c r="K62" i="4"/>
  <c r="L133" i="4"/>
  <c r="K91" i="4"/>
  <c r="J18" i="3"/>
  <c r="O18" i="4" s="1"/>
  <c r="I51" i="3"/>
  <c r="I59" i="3"/>
  <c r="L31" i="4"/>
  <c r="N31" i="4" s="1"/>
  <c r="N100" i="2"/>
  <c r="E34" i="5"/>
  <c r="M143" i="4"/>
  <c r="G102" i="2"/>
  <c r="N94" i="2"/>
  <c r="F91" i="2"/>
  <c r="G79" i="2"/>
  <c r="G80" i="2" s="1"/>
  <c r="G42" i="2"/>
  <c r="M137" i="3"/>
  <c r="M141" i="3" s="1"/>
  <c r="M142" i="3" s="1"/>
  <c r="J132" i="3"/>
  <c r="O132" i="4" s="1"/>
  <c r="J101" i="3"/>
  <c r="O101" i="4" s="1"/>
  <c r="J93" i="3"/>
  <c r="J89" i="3"/>
  <c r="J87" i="3"/>
  <c r="J49" i="3"/>
  <c r="O49" i="4" s="1"/>
  <c r="J47" i="3"/>
  <c r="O47" i="4" s="1"/>
  <c r="J42" i="3"/>
  <c r="O42" i="4" s="1"/>
  <c r="M40" i="3"/>
  <c r="J39" i="3"/>
  <c r="O39" i="4" s="1"/>
  <c r="M35" i="3"/>
  <c r="K44" i="3"/>
  <c r="D10" i="7" s="1"/>
  <c r="J34" i="3"/>
  <c r="J22" i="3"/>
  <c r="M18" i="3"/>
  <c r="J17" i="3"/>
  <c r="K24" i="3"/>
  <c r="D9" i="7" s="1"/>
  <c r="M16" i="3"/>
  <c r="J16" i="3"/>
  <c r="O16" i="4" s="1"/>
  <c r="J29" i="1"/>
  <c r="O29" i="2" s="1"/>
  <c r="M94" i="1"/>
  <c r="J39" i="1"/>
  <c r="K69" i="1"/>
  <c r="D31" i="5" s="1"/>
  <c r="J100" i="1"/>
  <c r="K80" i="1"/>
  <c r="D34" i="5" s="1"/>
  <c r="J94" i="1"/>
  <c r="J102" i="1"/>
  <c r="M100" i="1"/>
  <c r="K48" i="1"/>
  <c r="D20" i="5" s="1"/>
  <c r="M99" i="1"/>
  <c r="K40" i="1"/>
  <c r="D18" i="5" s="1"/>
  <c r="J42" i="1"/>
  <c r="J28" i="1"/>
  <c r="J95" i="1"/>
  <c r="O95" i="2" s="1"/>
  <c r="M96" i="1"/>
  <c r="K41" i="8"/>
  <c r="I43" i="8"/>
  <c r="I44" i="8" s="1"/>
  <c r="K42" i="8"/>
  <c r="O89" i="4" l="1"/>
  <c r="O21" i="4"/>
  <c r="N79" i="2"/>
  <c r="N80" i="2" s="1"/>
  <c r="N91" i="2" s="1"/>
  <c r="K80" i="2"/>
  <c r="K91" i="2" s="1"/>
  <c r="L91" i="4"/>
  <c r="E32" i="7" s="1"/>
  <c r="E143" i="4"/>
  <c r="H129" i="4"/>
  <c r="G51" i="4"/>
  <c r="O34" i="4"/>
  <c r="O22" i="4"/>
  <c r="G13" i="4"/>
  <c r="N99" i="2"/>
  <c r="N103" i="2" s="1"/>
  <c r="N104" i="2" s="1"/>
  <c r="O100" i="2"/>
  <c r="O94" i="2"/>
  <c r="G91" i="2"/>
  <c r="H49" i="2"/>
  <c r="H105" i="2" s="1"/>
  <c r="O138" i="4"/>
  <c r="O141" i="4" s="1"/>
  <c r="O142" i="4" s="1"/>
  <c r="O33" i="4"/>
  <c r="N71" i="4"/>
  <c r="N133" i="4"/>
  <c r="N141" i="4" s="1"/>
  <c r="N142" i="4" s="1"/>
  <c r="M129" i="3"/>
  <c r="K51" i="4"/>
  <c r="K44" i="4"/>
  <c r="K13" i="4"/>
  <c r="M80" i="2"/>
  <c r="M91" i="2" s="1"/>
  <c r="L65" i="2"/>
  <c r="E28" i="5" s="1"/>
  <c r="L69" i="2"/>
  <c r="E31" i="5" s="1"/>
  <c r="O67" i="2"/>
  <c r="O69" i="2" s="1"/>
  <c r="N42" i="2"/>
  <c r="N44" i="2" s="1"/>
  <c r="M31" i="2"/>
  <c r="K49" i="2"/>
  <c r="K105" i="2" s="1"/>
  <c r="I84" i="3"/>
  <c r="F84" i="4"/>
  <c r="G71" i="4"/>
  <c r="L141" i="4"/>
  <c r="E48" i="7" s="1"/>
  <c r="N91" i="4"/>
  <c r="H84" i="4"/>
  <c r="M13" i="3"/>
  <c r="D35" i="5"/>
  <c r="D13" i="8" s="1"/>
  <c r="D15" i="8" s="1"/>
  <c r="O88" i="4"/>
  <c r="K102" i="4"/>
  <c r="L13" i="4"/>
  <c r="E8" i="7" s="1"/>
  <c r="K141" i="4"/>
  <c r="K142" i="4" s="1"/>
  <c r="L44" i="4"/>
  <c r="E10" i="7" s="1"/>
  <c r="G91" i="4"/>
  <c r="G129" i="4" s="1"/>
  <c r="F129" i="4"/>
  <c r="N32" i="4"/>
  <c r="O28" i="2"/>
  <c r="I49" i="1"/>
  <c r="O11" i="4"/>
  <c r="O13" i="4" s="1"/>
  <c r="K24" i="4"/>
  <c r="K104" i="1"/>
  <c r="D44" i="5"/>
  <c r="D45" i="5" s="1"/>
  <c r="D46" i="5" s="1"/>
  <c r="D16" i="8" s="1"/>
  <c r="D17" i="8" s="1"/>
  <c r="F49" i="2"/>
  <c r="F105" i="2" s="1"/>
  <c r="G10" i="9" s="1"/>
  <c r="J80" i="1"/>
  <c r="O79" i="2"/>
  <c r="O80" i="2" s="1"/>
  <c r="L31" i="2"/>
  <c r="E16" i="5" s="1"/>
  <c r="N16" i="4"/>
  <c r="N24" i="4" s="1"/>
  <c r="M36" i="2"/>
  <c r="M40" i="2" s="1"/>
  <c r="G24" i="4"/>
  <c r="O54" i="4"/>
  <c r="O56" i="4" s="1"/>
  <c r="D48" i="7"/>
  <c r="D49" i="7" s="1"/>
  <c r="K142" i="3"/>
  <c r="O102" i="2"/>
  <c r="L91" i="2"/>
  <c r="G44" i="4"/>
  <c r="K56" i="4"/>
  <c r="J30" i="1"/>
  <c r="O30" i="2" s="1"/>
  <c r="L31" i="1"/>
  <c r="J44" i="1"/>
  <c r="N101" i="4"/>
  <c r="N102" i="4" s="1"/>
  <c r="M48" i="2"/>
  <c r="L48" i="2"/>
  <c r="E20" i="5" s="1"/>
  <c r="G65" i="4"/>
  <c r="O64" i="4"/>
  <c r="O65" i="4" s="1"/>
  <c r="G141" i="4"/>
  <c r="G142" i="4" s="1"/>
  <c r="N53" i="4"/>
  <c r="N56" i="4" s="1"/>
  <c r="K98" i="4"/>
  <c r="M44" i="3"/>
  <c r="E35" i="5"/>
  <c r="F13" i="8" s="1"/>
  <c r="N13" i="4"/>
  <c r="G103" i="2"/>
  <c r="G104" i="2" s="1"/>
  <c r="O42" i="2"/>
  <c r="O44" i="2" s="1"/>
  <c r="G44" i="2"/>
  <c r="G49" i="2" s="1"/>
  <c r="J91" i="3"/>
  <c r="O87" i="4"/>
  <c r="D36" i="7"/>
  <c r="D37" i="7" s="1"/>
  <c r="K129" i="3"/>
  <c r="E19" i="7"/>
  <c r="F25" i="8" s="1"/>
  <c r="N29" i="4"/>
  <c r="L98" i="4"/>
  <c r="J98" i="3"/>
  <c r="O93" i="4"/>
  <c r="O98" i="4" s="1"/>
  <c r="N46" i="4"/>
  <c r="N51" i="4" s="1"/>
  <c r="N58" i="4"/>
  <c r="N59" i="4" s="1"/>
  <c r="O102" i="4"/>
  <c r="I129" i="3"/>
  <c r="D16" i="7"/>
  <c r="D19" i="7" s="1"/>
  <c r="D25" i="8" s="1"/>
  <c r="K84" i="3"/>
  <c r="J141" i="3"/>
  <c r="J142" i="3" s="1"/>
  <c r="J24" i="3"/>
  <c r="O17" i="4"/>
  <c r="J51" i="3"/>
  <c r="O46" i="4"/>
  <c r="O51" i="4" s="1"/>
  <c r="D11" i="7"/>
  <c r="N98" i="4"/>
  <c r="J102" i="3"/>
  <c r="N61" i="4"/>
  <c r="N62" i="4" s="1"/>
  <c r="J112" i="3"/>
  <c r="O111" i="4"/>
  <c r="O112" i="4" s="1"/>
  <c r="F12" i="8"/>
  <c r="E29" i="5"/>
  <c r="L104" i="2"/>
  <c r="E44" i="5"/>
  <c r="E45" i="5" s="1"/>
  <c r="J40" i="1"/>
  <c r="O39" i="2"/>
  <c r="O40" i="2" s="1"/>
  <c r="J44" i="3"/>
  <c r="M24" i="3"/>
  <c r="M103" i="1"/>
  <c r="M104" i="1" s="1"/>
  <c r="J103" i="1"/>
  <c r="J104" i="1" s="1"/>
  <c r="K31" i="1"/>
  <c r="M25" i="1"/>
  <c r="M31" i="1" s="1"/>
  <c r="M49" i="1" s="1"/>
  <c r="M105" i="1" s="1"/>
  <c r="J25" i="1"/>
  <c r="O25" i="2" s="1"/>
  <c r="K45" i="8"/>
  <c r="I45" i="8"/>
  <c r="O44" i="8" s="1"/>
  <c r="O47" i="8" s="1"/>
  <c r="K43" i="8"/>
  <c r="K44" i="8" s="1"/>
  <c r="I105" i="1" l="1"/>
  <c r="G9" i="9" s="1"/>
  <c r="I10" i="9" s="1"/>
  <c r="K129" i="4"/>
  <c r="H143" i="4"/>
  <c r="O44" i="4"/>
  <c r="O24" i="4"/>
  <c r="O103" i="2"/>
  <c r="O104" i="2" s="1"/>
  <c r="L142" i="4"/>
  <c r="O91" i="4"/>
  <c r="O129" i="4" s="1"/>
  <c r="O143" i="4" s="1"/>
  <c r="S143" i="4" s="1"/>
  <c r="E11" i="7"/>
  <c r="F24" i="8" s="1"/>
  <c r="F29" i="8" s="1"/>
  <c r="L84" i="4"/>
  <c r="I143" i="3"/>
  <c r="G12" i="9" s="1"/>
  <c r="K84" i="4"/>
  <c r="N44" i="4"/>
  <c r="N84" i="4" s="1"/>
  <c r="N49" i="2"/>
  <c r="N105" i="2" s="1"/>
  <c r="D41" i="5"/>
  <c r="F15" i="8"/>
  <c r="O91" i="2"/>
  <c r="E41" i="5"/>
  <c r="E21" i="5"/>
  <c r="E22" i="5" s="1"/>
  <c r="J31" i="1"/>
  <c r="J49" i="1" s="1"/>
  <c r="G105" i="2"/>
  <c r="G18" i="9" s="1"/>
  <c r="G84" i="4"/>
  <c r="G143" i="4" s="1"/>
  <c r="G21" i="9" s="1"/>
  <c r="F143" i="4"/>
  <c r="G13" i="9" s="1"/>
  <c r="J84" i="3"/>
  <c r="N129" i="4"/>
  <c r="O31" i="2"/>
  <c r="O49" i="2" s="1"/>
  <c r="L49" i="2"/>
  <c r="L105" i="2" s="1"/>
  <c r="K49" i="1"/>
  <c r="K105" i="1" s="1"/>
  <c r="D16" i="5"/>
  <c r="D21" i="5" s="1"/>
  <c r="D50" i="7"/>
  <c r="D33" i="8"/>
  <c r="D34" i="8" s="1"/>
  <c r="M49" i="2"/>
  <c r="M105" i="2" s="1"/>
  <c r="M84" i="3"/>
  <c r="M143" i="3" s="1"/>
  <c r="D45" i="7"/>
  <c r="D30" i="8"/>
  <c r="D32" i="8" s="1"/>
  <c r="E42" i="8" s="1"/>
  <c r="F33" i="8"/>
  <c r="F34" i="8" s="1"/>
  <c r="E49" i="7"/>
  <c r="E50" i="7" s="1"/>
  <c r="E33" i="7"/>
  <c r="E37" i="7" s="1"/>
  <c r="L129" i="4"/>
  <c r="J129" i="3"/>
  <c r="D24" i="8"/>
  <c r="D29" i="8" s="1"/>
  <c r="D29" i="7"/>
  <c r="K143" i="3"/>
  <c r="E46" i="5"/>
  <c r="F16" i="8"/>
  <c r="F17" i="8" s="1"/>
  <c r="J105" i="1" l="1"/>
  <c r="G19" i="9" s="1"/>
  <c r="I19" i="9" s="1"/>
  <c r="O84" i="4"/>
  <c r="I13" i="9"/>
  <c r="I15" i="9" s="1"/>
  <c r="K143" i="4"/>
  <c r="E29" i="7"/>
  <c r="L143" i="4"/>
  <c r="J143" i="3"/>
  <c r="G22" i="9" s="1"/>
  <c r="I22" i="9" s="1"/>
  <c r="E47" i="5"/>
  <c r="F10" i="8"/>
  <c r="F11" i="8" s="1"/>
  <c r="F18" i="8" s="1"/>
  <c r="N143" i="4"/>
  <c r="D10" i="8"/>
  <c r="D11" i="8" s="1"/>
  <c r="D22" i="5"/>
  <c r="D47" i="5" s="1"/>
  <c r="D51" i="7"/>
  <c r="O105" i="2"/>
  <c r="E45" i="7"/>
  <c r="F30" i="8"/>
  <c r="F32" i="8" s="1"/>
  <c r="G42" i="8" s="1"/>
  <c r="D35" i="8"/>
  <c r="Q105" i="2" l="1"/>
  <c r="R143" i="4"/>
  <c r="E51" i="7"/>
  <c r="G41" i="8"/>
  <c r="G43" i="8" s="1"/>
  <c r="G44" i="8" s="1"/>
  <c r="D18" i="8"/>
  <c r="E41" i="8"/>
  <c r="E43" i="8" s="1"/>
  <c r="E44" i="8" s="1"/>
  <c r="I24" i="9"/>
  <c r="I52" i="9" s="1"/>
  <c r="I50" i="9" s="1"/>
  <c r="J48" i="9" s="1"/>
  <c r="D37" i="8"/>
  <c r="F35" i="8"/>
  <c r="F37" i="8" s="1"/>
  <c r="F20" i="8"/>
  <c r="D19" i="8" l="1"/>
  <c r="D20" i="8" s="1"/>
  <c r="E45" i="8"/>
  <c r="G45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Raffaella Ladiana</author>
  </authors>
  <commentList>
    <comment ref="K101" authorId="0" shapeId="0" xr:uid="{A8D0BA17-B668-4A99-A0F7-2EBE7857BE05}">
      <text>
        <r>
          <rPr>
            <b/>
            <sz val="9"/>
            <color indexed="81"/>
            <rFont val="Tahoma"/>
            <family val="2"/>
          </rPr>
          <t>Raffaella Ladiana:</t>
        </r>
        <r>
          <rPr>
            <sz val="9"/>
            <color indexed="81"/>
            <rFont val="Tahoma"/>
            <family val="2"/>
          </rPr>
          <t xml:space="preserve">
+1
</t>
        </r>
      </text>
    </comment>
    <comment ref="I111" authorId="0" shapeId="0" xr:uid="{9935DAD3-2703-4C75-A27B-0C6A2C36F514}">
      <text>
        <r>
          <rPr>
            <b/>
            <sz val="9"/>
            <color indexed="81"/>
            <rFont val="Tahoma"/>
            <family val="2"/>
          </rPr>
          <t>Raffaella Ladiana:</t>
        </r>
        <r>
          <rPr>
            <sz val="9"/>
            <color indexed="81"/>
            <rFont val="Tahoma"/>
            <family val="2"/>
          </rPr>
          <t xml:space="preserve">
+1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Raffaella Ladiana</author>
  </authors>
  <commentList>
    <comment ref="F12" authorId="0" shapeId="0" xr:uid="{33550635-7BE3-4CE3-9D08-35110C04C425}">
      <text>
        <r>
          <rPr>
            <b/>
            <sz val="9"/>
            <color indexed="81"/>
            <rFont val="Tahoma"/>
            <family val="2"/>
          </rPr>
          <t>Raffaella Ladiana:</t>
        </r>
        <r>
          <rPr>
            <sz val="9"/>
            <color indexed="81"/>
            <rFont val="Tahoma"/>
            <family val="2"/>
          </rPr>
          <t xml:space="preserve">
+1
</t>
        </r>
      </text>
    </comment>
  </commentList>
</comments>
</file>

<file path=xl/sharedStrings.xml><?xml version="1.0" encoding="utf-8"?>
<sst xmlns="http://schemas.openxmlformats.org/spreadsheetml/2006/main" count="1191" uniqueCount="629">
  <si>
    <t>Autorità di Sistema Portuale del Mar Ionio - Porto di Taranto</t>
  </si>
  <si>
    <t>RENDICONTO FINANZIARIO GESTIONALE</t>
  </si>
  <si>
    <t>Capitolo</t>
  </si>
  <si>
    <t>Gestione di Competenza</t>
  </si>
  <si>
    <t>Previsioni</t>
  </si>
  <si>
    <t>Somme da Accertare</t>
  </si>
  <si>
    <t xml:space="preserve">Differenze rispetto alle previsioni </t>
  </si>
  <si>
    <t>Codice</t>
  </si>
  <si>
    <t>Descrizione</t>
  </si>
  <si>
    <t>Stanziamento Iniziale</t>
  </si>
  <si>
    <t>Variazioni(+)</t>
  </si>
  <si>
    <t>Variazioni(-)</t>
  </si>
  <si>
    <t>Previsione Assestata</t>
  </si>
  <si>
    <t>Riscossioni</t>
  </si>
  <si>
    <t>Da Riscuotere</t>
  </si>
  <si>
    <t>Accertato</t>
  </si>
  <si>
    <t>Differenze Previsioni (+)</t>
  </si>
  <si>
    <t>Differenze Previsioni (-)</t>
  </si>
  <si>
    <t>E1</t>
  </si>
  <si>
    <t>TITOLO I - ENTRATE CORRENTI</t>
  </si>
  <si>
    <t>E1.1.1</t>
  </si>
  <si>
    <t>Categoria 1.1.1 - TRASFERIMENTI DA PARTE DELLO STATO</t>
  </si>
  <si>
    <t>E111/10</t>
  </si>
  <si>
    <t>Contributi dello Stato</t>
  </si>
  <si>
    <t>TOTALE CATEGORIA E1.1.1</t>
  </si>
  <si>
    <t>E1.1.2</t>
  </si>
  <si>
    <t>Categoria 1.1.2 - TRASFERIMENTI DA PARTE DELLE REGIONI</t>
  </si>
  <si>
    <t>E112/10</t>
  </si>
  <si>
    <t>Contributo della Regione Puglia</t>
  </si>
  <si>
    <t>TOTALE CATEGORIA E1.1.2</t>
  </si>
  <si>
    <t>E1.1.3</t>
  </si>
  <si>
    <t>Categoria 1.1.3 - TRASFERIMENTI DA PARTE DEI COMUNI E DELLE PROVINCE</t>
  </si>
  <si>
    <t>E113/10</t>
  </si>
  <si>
    <t>Contributi della Provincia di Taranto</t>
  </si>
  <si>
    <t>E113/20</t>
  </si>
  <si>
    <t>Contributo del Comune di Taranto</t>
  </si>
  <si>
    <t>TOTALE CATEGORIA E1.1.3</t>
  </si>
  <si>
    <t>E1.1.4</t>
  </si>
  <si>
    <t>Categoria 1.1.4 - TRASFERIMENTI DA PARTE DI ALTRI ENTI DEL SETTORE PUBBLICO</t>
  </si>
  <si>
    <t>E114/10</t>
  </si>
  <si>
    <t>Contributo Camera di Commercio di Taranto</t>
  </si>
  <si>
    <t>E114/20</t>
  </si>
  <si>
    <t>Contributo altri enti pubblici</t>
  </si>
  <si>
    <t>E114/30</t>
  </si>
  <si>
    <t>Contributi diversi</t>
  </si>
  <si>
    <t>TOTALE CATEGORIA E1.1.4</t>
  </si>
  <si>
    <t>E1.2.1</t>
  </si>
  <si>
    <t>Categoria 1.2.1 - ENTRATE TRIBUTARIE</t>
  </si>
  <si>
    <t>E121/00</t>
  </si>
  <si>
    <t>Gettito della tassa portuale</t>
  </si>
  <si>
    <t>E121/10</t>
  </si>
  <si>
    <t>Gettito delle tasse sulle merci imb.e sbar.Cap III, Titolo II L. 82/63 e art. 1 L. 355/76 ecc. (cod.901)</t>
  </si>
  <si>
    <t>E121/20</t>
  </si>
  <si>
    <t>Gettito delle tasse erariali di cui all'art.2, c.1.D.L.47/74  (cod. 921)</t>
  </si>
  <si>
    <t>E121/30</t>
  </si>
  <si>
    <t>Gettito delle tasse ancoraggio  (cod. 922)</t>
  </si>
  <si>
    <t>E121/40</t>
  </si>
  <si>
    <t>Proventi di autorizzazione per operazioni portuali di cui all' art.16 L. 84/94</t>
  </si>
  <si>
    <t>E121/50</t>
  </si>
  <si>
    <t>Proventi di autorizzazioni per attività svolte nel porto di cui all ' art.68  del Codice della Navigazione</t>
  </si>
  <si>
    <t>TOTALE CATEGORIA E1.2.1</t>
  </si>
  <si>
    <t>E1.2.2</t>
  </si>
  <si>
    <t>Categoria 1.2.2 - ENTRATE DERIVANTI DALLA VENDITA DI BENI E DALLA PRESTAZIONE DI SERVIZI</t>
  </si>
  <si>
    <t>E122/10</t>
  </si>
  <si>
    <t>Entrate derivanti dalla vendita di beni e dalla prestazione dei servizi</t>
  </si>
  <si>
    <t>TOTALE CATEGORIA E1.2.2</t>
  </si>
  <si>
    <t>E1.2.3</t>
  </si>
  <si>
    <t>Categoria 1.2.3 - REDDITI E PROVENTI PATRIMONIALI</t>
  </si>
  <si>
    <t>E123/10</t>
  </si>
  <si>
    <t>Canoni di concessione aree demaniali e delle banchine in ambito portuale</t>
  </si>
  <si>
    <t>E123/20</t>
  </si>
  <si>
    <t>Canoni di affitto beni patrimoniali dell'Autorità Portuale</t>
  </si>
  <si>
    <t>E123/30</t>
  </si>
  <si>
    <t>Interessi attivi su titoli, depositi, conti correnti</t>
  </si>
  <si>
    <t>E123/40</t>
  </si>
  <si>
    <t>Altri proventi patrimoniali</t>
  </si>
  <si>
    <t>TOTALE CATEGORIA E1.2.3</t>
  </si>
  <si>
    <t>E1.2.4</t>
  </si>
  <si>
    <t>Categoria 1.2.4 - POSTE CORRETTIVE E COMPENSATIVE DI SPESE CORRENTI</t>
  </si>
  <si>
    <t>E124/10</t>
  </si>
  <si>
    <t>Recuperi e rimborsi diversi</t>
  </si>
  <si>
    <t>E124/20</t>
  </si>
  <si>
    <t>Concorso da parte dello Stato e di altri Enti per spese di servizi di manutenzione, illuminazione, pulizia ordinaria</t>
  </si>
  <si>
    <t>TOTALE CATEGORIA E1.2.4</t>
  </si>
  <si>
    <t>E1.2.5</t>
  </si>
  <si>
    <t>Categoria 1.2.5 - ENTRATE NON CLASSIFICABILI IN ALTRE VOCI</t>
  </si>
  <si>
    <t>E125/10</t>
  </si>
  <si>
    <t>Canoni di concessione per l'affidamento dei servizi di manutenzione illuminazione, pulizia - gestione rifiuti prodotti dalle navi di cui all'art. 6 coma 1 L. 84/94</t>
  </si>
  <si>
    <t>E125/20</t>
  </si>
  <si>
    <t>Entrate varie ed eventuali</t>
  </si>
  <si>
    <t>TOTALE CATEGORIA E1.2.5</t>
  </si>
  <si>
    <t>TOTALE TITOLO E1</t>
  </si>
  <si>
    <t>E2</t>
  </si>
  <si>
    <t>TITOLO II - ENTRATE IN CONTO CAPITALE</t>
  </si>
  <si>
    <t>E2.1.1</t>
  </si>
  <si>
    <t>Categoria 2.1.1 - ALIENAZIONE IMMOBILI E DIRITTI REALI</t>
  </si>
  <si>
    <t>E211/10</t>
  </si>
  <si>
    <t>Alienazione di  Immobili</t>
  </si>
  <si>
    <t>E211/20</t>
  </si>
  <si>
    <t>Cessione di diritti reali</t>
  </si>
  <si>
    <t>TOTALE CATEGORIA E2.1.1</t>
  </si>
  <si>
    <t>E2.1.2</t>
  </si>
  <si>
    <t>Categoria 2.1.2 - ALIENAZIONE DI IMMOBILIZZAZIONI TECNICHE DIVERSE E DI BENI IMMATERIALI</t>
  </si>
  <si>
    <t>E212/10</t>
  </si>
  <si>
    <t>Cessione di immobilizzazioni tecniche</t>
  </si>
  <si>
    <t>E212/20</t>
  </si>
  <si>
    <t>Cessione di brevetti o progetti</t>
  </si>
  <si>
    <t>TOTALE CATEGORIA E2.1.2</t>
  </si>
  <si>
    <t>E2.1.3</t>
  </si>
  <si>
    <t>Categoria 2.1.3 - REALIZZO DI VALORI IMMOBILIARI</t>
  </si>
  <si>
    <t>E213/10</t>
  </si>
  <si>
    <t>Realizzo di somme investite in titoli e valori mobiliari diversi</t>
  </si>
  <si>
    <t>TOTALE CATEGORIA E2.1.3</t>
  </si>
  <si>
    <t>E2.1.4</t>
  </si>
  <si>
    <t>Categoria 2.1.4 - RISCOSSIONE DI CREDITI</t>
  </si>
  <si>
    <t>E214/10</t>
  </si>
  <si>
    <t>Riscossione di prestiti ed anticipazioni a breve termine</t>
  </si>
  <si>
    <t>E214/20</t>
  </si>
  <si>
    <t>Riscossione di altri crediti</t>
  </si>
  <si>
    <t>TOTALE CATEGORIA E2.1.4</t>
  </si>
  <si>
    <t>E2.2.1</t>
  </si>
  <si>
    <t>Categoria 2.2.1 - TRASFERIMENTI DELLO STATO</t>
  </si>
  <si>
    <t>E221/10</t>
  </si>
  <si>
    <t>Finanziamento dello stato per esecuzione di opere infrastrutturali</t>
  </si>
  <si>
    <t>E221/20</t>
  </si>
  <si>
    <t xml:space="preserve">Concorso da parte dello Stato per spese di manutenzione straordinaria delle parti comuni in ambito portuale, compresa la manutenzione dei fondali </t>
  </si>
  <si>
    <t>TOTALE CATEGORIA E2.2.1</t>
  </si>
  <si>
    <t>E2.2.2</t>
  </si>
  <si>
    <t>Categoria 2.2.2 - TRASFERIMENTI DELLA REGIONE</t>
  </si>
  <si>
    <t>E222/10</t>
  </si>
  <si>
    <t>TOTALE CATEGORIA E2.2.2</t>
  </si>
  <si>
    <t>E2.2.3</t>
  </si>
  <si>
    <t>Categoria 2.2.3 - TRASFERIMENTI DA COMUNI E PROVINCE</t>
  </si>
  <si>
    <t>E223/10</t>
  </si>
  <si>
    <t>Contributo Provincia di Taranto</t>
  </si>
  <si>
    <t>E223/20</t>
  </si>
  <si>
    <t>Contributo Comune di Taranto</t>
  </si>
  <si>
    <t>TOTALE CATEGORIA E2.2.3</t>
  </si>
  <si>
    <t>E2.2.4</t>
  </si>
  <si>
    <t>Categoria 2.2.4 - TRASFERIMENTI DA ALTRI ENTI DEL SETTORE PUBBLICO</t>
  </si>
  <si>
    <t>E224/10</t>
  </si>
  <si>
    <t>Contributi Enti</t>
  </si>
  <si>
    <t>E224/20</t>
  </si>
  <si>
    <t>TOTALE CATEGORIA E2.2.4</t>
  </si>
  <si>
    <t>E2.3.1</t>
  </si>
  <si>
    <t>Categoria 2.3.1 - ASSUNZIONE DI MUTUI</t>
  </si>
  <si>
    <t>E231/10</t>
  </si>
  <si>
    <t>Operazioni finanziarie a medio e lungo termine</t>
  </si>
  <si>
    <t>TOTALE CATEGORIA E2.3.1</t>
  </si>
  <si>
    <t>E2.3.2</t>
  </si>
  <si>
    <t>Categoria 2.3.2 - ASSUNZIONE DI ALTRI DEBITI FINANZIARI</t>
  </si>
  <si>
    <t>E232/10</t>
  </si>
  <si>
    <t>Operazioni finanziarie a breve termine</t>
  </si>
  <si>
    <t>E232/20</t>
  </si>
  <si>
    <t>Depositi di terzi a cauzione</t>
  </si>
  <si>
    <t>TOTALE CATEGORIA E2.3.2</t>
  </si>
  <si>
    <t>E2.3.3</t>
  </si>
  <si>
    <t>Categoria 2.3.3 - EMISSIONE DI OBBLIGAZIONI</t>
  </si>
  <si>
    <t>E233/10</t>
  </si>
  <si>
    <t>Emissione di obbligazioni</t>
  </si>
  <si>
    <t>TOTALE CATEGORIA E2.3.3</t>
  </si>
  <si>
    <t>TOTALE TITOLO E2</t>
  </si>
  <si>
    <t>E3</t>
  </si>
  <si>
    <t>TITOLO III - PARTITE DI GIRO</t>
  </si>
  <si>
    <t>E3.1.1</t>
  </si>
  <si>
    <t>Categoria 3.1.1 - ENTRATE AVENTI NATURA DI PARTITE DI GIRO</t>
  </si>
  <si>
    <t>E311/10</t>
  </si>
  <si>
    <t>Ritenute erariali</t>
  </si>
  <si>
    <t>E311/20</t>
  </si>
  <si>
    <t>Ritenute previdenziali ed assistenziali</t>
  </si>
  <si>
    <t>E311/30</t>
  </si>
  <si>
    <t>Ritenute diverse</t>
  </si>
  <si>
    <t>E311/40</t>
  </si>
  <si>
    <t>Recupero dal personale per anticipazioni concesse</t>
  </si>
  <si>
    <t>E311/50</t>
  </si>
  <si>
    <t>Trattenute per conto terzi</t>
  </si>
  <si>
    <t>E311/60</t>
  </si>
  <si>
    <t>Rimborso di somme pagate per conto terzi</t>
  </si>
  <si>
    <t>E311/70</t>
  </si>
  <si>
    <t>Partite in sospeso</t>
  </si>
  <si>
    <t>E311/80</t>
  </si>
  <si>
    <t>Restituzione fondo economato a fine esercizio</t>
  </si>
  <si>
    <t>E311/90</t>
  </si>
  <si>
    <t>IVA</t>
  </si>
  <si>
    <t>TOTALE CATEGORIA E3.1.1</t>
  </si>
  <si>
    <t>TOTALE TITOLO E3</t>
  </si>
  <si>
    <t>TOTALE GENERALE</t>
  </si>
  <si>
    <t>Gestione dei residui attivi</t>
  </si>
  <si>
    <t>Gestione di Cassa</t>
  </si>
  <si>
    <t>Variazioni</t>
  </si>
  <si>
    <t>Differenze rispetto alle previsioni</t>
  </si>
  <si>
    <t>Inizio Esercizio</t>
  </si>
  <si>
    <t>Totale</t>
  </si>
  <si>
    <t>Variazioni Residui(+)</t>
  </si>
  <si>
    <t>Variazioni Residui(-)</t>
  </si>
  <si>
    <t>Differenza previsioni(+)</t>
  </si>
  <si>
    <t>Differenza previsioni(-)</t>
  </si>
  <si>
    <t>Totale Residui</t>
  </si>
  <si>
    <t>Somme da Impegnare</t>
  </si>
  <si>
    <t>Pagamenti</t>
  </si>
  <si>
    <t>Da Pagare</t>
  </si>
  <si>
    <t>Impegnato</t>
  </si>
  <si>
    <t>U1</t>
  </si>
  <si>
    <t>UPB 1 - TITOLO I - USCITE CORRENTI</t>
  </si>
  <si>
    <t>U1.1.1</t>
  </si>
  <si>
    <t>Categoria 1.1.1 - USCITE PER GLI ORGANI DELL'ENTE</t>
  </si>
  <si>
    <t>U111/10</t>
  </si>
  <si>
    <t>Indennità di carica  e rimborsi spese al Presidente dell'Autorità Portuale</t>
  </si>
  <si>
    <t>U111/20</t>
  </si>
  <si>
    <t xml:space="preserve">Indennità di carica e rimborsi spese ai membri del Comitato Portuale </t>
  </si>
  <si>
    <t>U111/30</t>
  </si>
  <si>
    <t>Indennità di carica e rimborso spese agli organi di controllo</t>
  </si>
  <si>
    <t>TOTALE CATEGORIA U1.1.1</t>
  </si>
  <si>
    <t>U1.1.2</t>
  </si>
  <si>
    <t>Categoria 1.1.2 - ONERI PER IL PERSONALE IN ATTIVITÀ DI SERVIZIO</t>
  </si>
  <si>
    <t>U112/10</t>
  </si>
  <si>
    <t xml:space="preserve">Emolumenti al Segretario Generale </t>
  </si>
  <si>
    <t>U112/20</t>
  </si>
  <si>
    <t>Emolumenti fissi al personale dipendente</t>
  </si>
  <si>
    <t>U112/30</t>
  </si>
  <si>
    <t>Emolumenti variabili al personale dipendente</t>
  </si>
  <si>
    <t>U112/40</t>
  </si>
  <si>
    <t>Indennità e rimborso per missioni</t>
  </si>
  <si>
    <t>U112/50</t>
  </si>
  <si>
    <t>Altri oneri per il personale</t>
  </si>
  <si>
    <t>U112/60</t>
  </si>
  <si>
    <t>Spese per l'organizzazione di corsi per il personale e partecipaz. a spese per corsi indetti da Enti</t>
  </si>
  <si>
    <t>U112/70</t>
  </si>
  <si>
    <t>Oneri previdenziali, assistenziali e fiscali a carico dell'Autorità Portuale</t>
  </si>
  <si>
    <t>U112/80</t>
  </si>
  <si>
    <t>Oneri della contrattazione decentrata o aziendale</t>
  </si>
  <si>
    <t>U112/90</t>
  </si>
  <si>
    <t>Oneri derivanti da rinnovi contrattuali</t>
  </si>
  <si>
    <t>TOTALE CATEGORIA U1.1.2</t>
  </si>
  <si>
    <t>U1.1.3</t>
  </si>
  <si>
    <t>Categoria 1.1.3 - USCITE PER L'ACQUISTO DI BENI DI CONSUMO E DI SERVIZIO</t>
  </si>
  <si>
    <t>U113/10</t>
  </si>
  <si>
    <t xml:space="preserve">Spese connesse con l' utilizzo dei mezzi di trasporto terrestri </t>
  </si>
  <si>
    <t>U113/20</t>
  </si>
  <si>
    <t xml:space="preserve">Spese connesse con l'utilizzo di mezzi nautici </t>
  </si>
  <si>
    <t>U113/30</t>
  </si>
  <si>
    <t>Lavori di manutenzione, riparazione, adattamento di locali a disposizione dell'Autorità Portuale . spese per pulizia e vigilanza ufficio, spese di riscaldamento</t>
  </si>
  <si>
    <t>U113/40</t>
  </si>
  <si>
    <t>Locazioni passive e leasing</t>
  </si>
  <si>
    <t>U113/50</t>
  </si>
  <si>
    <t>Spese per consulenze, studi ed altre analoghe prestazioni professionali</t>
  </si>
  <si>
    <t>U113/60</t>
  </si>
  <si>
    <t>Utenze varie</t>
  </si>
  <si>
    <t>U113/70</t>
  </si>
  <si>
    <t>Materiale di economato e facile consumo</t>
  </si>
  <si>
    <t>U113/80</t>
  </si>
  <si>
    <t>Abbonamento periodici e riviste</t>
  </si>
  <si>
    <t>U113/90</t>
  </si>
  <si>
    <t>Spese postali</t>
  </si>
  <si>
    <t>U113/100</t>
  </si>
  <si>
    <t>Spese diverse connesse al funzionamento degli uffici</t>
  </si>
  <si>
    <t>U113/110</t>
  </si>
  <si>
    <t>Spese per atti e contratti vari</t>
  </si>
  <si>
    <t>U113/120</t>
  </si>
  <si>
    <t>Spese per trasporto materiali, mobili ed attrezzature speciali</t>
  </si>
  <si>
    <t>U113/130</t>
  </si>
  <si>
    <t>Spese per effetti di corredo per il personale dipendente</t>
  </si>
  <si>
    <t>U113/140</t>
  </si>
  <si>
    <t>Premi di assicurazione</t>
  </si>
  <si>
    <t>U113/150</t>
  </si>
  <si>
    <t xml:space="preserve">Spese di pubblicità </t>
  </si>
  <si>
    <t>U113/160</t>
  </si>
  <si>
    <t>Spese di rappresentanza</t>
  </si>
  <si>
    <t>U113/170</t>
  </si>
  <si>
    <t>Spese legali, giudiziarie e varie</t>
  </si>
  <si>
    <t>U113/180</t>
  </si>
  <si>
    <t>Manutenzione ordinaria immobile sede ex art. 1, comma 618, L.F. 2008</t>
  </si>
  <si>
    <t>TOTALE CATEGORIA U1.1.3</t>
  </si>
  <si>
    <t>U1.2.1</t>
  </si>
  <si>
    <t>Categoria 1.2.1 - USCITE PER PRESTAZIONI ISTITUZIONALI</t>
  </si>
  <si>
    <t>U121/10</t>
  </si>
  <si>
    <t>Prestazioni di terzi per la gestione dei servizi portuali - spese per utenze portuali varie</t>
  </si>
  <si>
    <t>U121/20</t>
  </si>
  <si>
    <t>Prestazioni di terzi per manutenzioni, riparazioni, pulizia, assicurazioni e adattamenti diversi delle parti comuni in ambito portuale</t>
  </si>
  <si>
    <t>U121/30</t>
  </si>
  <si>
    <t>Spese per provviste e lavori indispensabili per la rimozione di ostacoli di qualunque genere alla navigazione in ambito portuale</t>
  </si>
  <si>
    <t>U121/40</t>
  </si>
  <si>
    <t>Spese promozionali e di propaganda</t>
  </si>
  <si>
    <t>U121/50</t>
  </si>
  <si>
    <t>Applicazione comma 15 bis dell'art. 17 della L. 84/94</t>
  </si>
  <si>
    <t>TOTALE CATEGORIA U1.2.1</t>
  </si>
  <si>
    <t>U1.2.2</t>
  </si>
  <si>
    <t>Categoria 1.2.2 - TRASFERIMENTI PASSIVI</t>
  </si>
  <si>
    <t>U122/10</t>
  </si>
  <si>
    <t>Contributi aventi attinenza allo sviluppo dell'attività portuale</t>
  </si>
  <si>
    <t>U122/20</t>
  </si>
  <si>
    <t>Contributi allo sviluppo delle realizzazioni di autostrade del mare,di trasporto marittimo a corto raggio e di crociere</t>
  </si>
  <si>
    <t>U122/30</t>
  </si>
  <si>
    <t>Partecipazione a progetti europei, nazionali e regionali</t>
  </si>
  <si>
    <t>TOTALE CATEGORIA U1.2.2</t>
  </si>
  <si>
    <t>U1.2.3</t>
  </si>
  <si>
    <t>Categoria 1.2.3 - ONERI FINANZIARI</t>
  </si>
  <si>
    <t>U123/10</t>
  </si>
  <si>
    <t>Interessi passivi spese e commissioni bancarie</t>
  </si>
  <si>
    <t>TOTALE CATEGORIA U1.2.3</t>
  </si>
  <si>
    <t>U1.2.4</t>
  </si>
  <si>
    <t>Categoria 1.2.4 - ONERI TRIBUTARI</t>
  </si>
  <si>
    <t>U124/10</t>
  </si>
  <si>
    <t>Imposte, tasse e tributi vari</t>
  </si>
  <si>
    <t>TOTALE CATEGORIA U1.2.4</t>
  </si>
  <si>
    <t>U1.2.5</t>
  </si>
  <si>
    <t>Categoria 1.2.5 - POSTE CORRETTIVE E COMPENSATIVE DI ENTRATE CORRENTI</t>
  </si>
  <si>
    <t>U125/10</t>
  </si>
  <si>
    <t>Restituzioni e rimborsi diversi</t>
  </si>
  <si>
    <t>TOTALE CATEGORIA U1.2.5</t>
  </si>
  <si>
    <t>U1.2.6</t>
  </si>
  <si>
    <t>Categoria 1.2.6 - USCITE NON CLASSIFICABILI IN ALTRE VOCI</t>
  </si>
  <si>
    <t>U126/10</t>
  </si>
  <si>
    <t>Spese per liti, arbitraggi, risarcimenti ed accessori</t>
  </si>
  <si>
    <t>U126/20</t>
  </si>
  <si>
    <t>Fondo di riserva</t>
  </si>
  <si>
    <t>U126/30</t>
  </si>
  <si>
    <t>Oneri vari straordinari</t>
  </si>
  <si>
    <t>U126/40</t>
  </si>
  <si>
    <t>Spese per realizzo delle entrate</t>
  </si>
  <si>
    <t>TOTALE CATEGORIA U1.2.6</t>
  </si>
  <si>
    <t>U1.3.1</t>
  </si>
  <si>
    <t>Categoria 1.3.1 - ONERI PER  IL PERSONALE IN QUIESCENZA</t>
  </si>
  <si>
    <t>U131/10</t>
  </si>
  <si>
    <t>Pensioni ed altri oneri similari a carico dell'Autorità Portuale</t>
  </si>
  <si>
    <t>TOTALE CATEGORIA U1.3.1</t>
  </si>
  <si>
    <t>U1.3.2</t>
  </si>
  <si>
    <t xml:space="preserve">Categoria 1.3.2 - ACCANTONAMENTO AL TRATTAMENTO DI FINE RAPPPORTO (CONTRIBUTO A.P.) </t>
  </si>
  <si>
    <t>U132/10</t>
  </si>
  <si>
    <t>Accantonamento al trattamento di fine rapporto (contributo A.P.)</t>
  </si>
  <si>
    <t>TOTALE CATEGORIA U1.3.2</t>
  </si>
  <si>
    <t>U1.4.1</t>
  </si>
  <si>
    <t>Categoria 1.4.1 - FONDO RISCHI E ONERI</t>
  </si>
  <si>
    <t>U141/10</t>
  </si>
  <si>
    <t>Fondo rischi e oneri</t>
  </si>
  <si>
    <t>TOTALE CATEGORIA U1.4.1</t>
  </si>
  <si>
    <t>U1.5.1</t>
  </si>
  <si>
    <t>Categoria 1.5.1 - ACCANTONAMENTI A FONDI RISCHI E ONERI</t>
  </si>
  <si>
    <t>U151/10</t>
  </si>
  <si>
    <t>Accantonamenti a fondi rischi ed oneri</t>
  </si>
  <si>
    <t>TOTALE CATEGORIA U1.5.1</t>
  </si>
  <si>
    <t>TOTALE TITOLO U1</t>
  </si>
  <si>
    <t>U2</t>
  </si>
  <si>
    <t>UPB 2 - TITOLO II - USCITE IN CONTO CAPITALE</t>
  </si>
  <si>
    <t>U2.1.1</t>
  </si>
  <si>
    <t>Categoria 2.1.1 - ACQUISIZIONE DI BENI DI USO DUREVOLE ED OPERE IMMOBILIARI E INVESTIMENTI</t>
  </si>
  <si>
    <t>U211/10</t>
  </si>
  <si>
    <t>Acquisizione, costruzione, trasformazione di opere portuali ed immobiliari - approfondimento fondali</t>
  </si>
  <si>
    <t>U211/20</t>
  </si>
  <si>
    <t>Prestazione di terzi per manutenzioni straordinarie delle parti comuni in ambito portuale, compresa la manutenzione dei fondali</t>
  </si>
  <si>
    <t>U211/30</t>
  </si>
  <si>
    <t>Azioni per lo sviluppo strategico del porto - studi, progettazioni, investimenti, ricerche logistica</t>
  </si>
  <si>
    <t>U211/40</t>
  </si>
  <si>
    <t>Manutenzione straordinaria immbile sede ex art. 1, comma 618, L.F. 2008</t>
  </si>
  <si>
    <t>TOTALE CATEGORIA U2.1.1</t>
  </si>
  <si>
    <t>U2.1.2</t>
  </si>
  <si>
    <t>Categoria 2.1.2 - ACQUISIZIONE DI IMMOBILIZZAZIONI TECNICHE</t>
  </si>
  <si>
    <t>U212/10</t>
  </si>
  <si>
    <t xml:space="preserve">Acquisto di attrezzature e macchinari </t>
  </si>
  <si>
    <t>U212/20</t>
  </si>
  <si>
    <t>Acquisto autoveicoli e motoveicoli e parti di ricambio degli stessi</t>
  </si>
  <si>
    <t>U212/30</t>
  </si>
  <si>
    <t>Acquisto mezzi nautici e parti di ricambio degli stessi</t>
  </si>
  <si>
    <t>U212/40</t>
  </si>
  <si>
    <t>Acquisto di beni immateriali (progetti, brevetti, ecc)</t>
  </si>
  <si>
    <t>U212/50</t>
  </si>
  <si>
    <t>Acquisto di mobili e macchine di ufficio</t>
  </si>
  <si>
    <t>TOTALE CATEGORIA U2.1.2</t>
  </si>
  <si>
    <t>U2.1.3</t>
  </si>
  <si>
    <t>Categoria 2.1.3 - PARTECIPAZIONI ED ACQUISTO DI VALORI MOBILIARI</t>
  </si>
  <si>
    <t>U213/10</t>
  </si>
  <si>
    <t>Sottoscrizioni ed acquisti di partecipazioni azionarie</t>
  </si>
  <si>
    <t>U213/20</t>
  </si>
  <si>
    <t>Partecipazione a progetti Europei, Nazionali e Regionali</t>
  </si>
  <si>
    <t>TOTALE CATEGORIA U2.1.3</t>
  </si>
  <si>
    <t>U2.1.4</t>
  </si>
  <si>
    <t>Categoria 2.1.4 - CONCESSIONI DI CREDITI ED ANTICIPAZIONI</t>
  </si>
  <si>
    <t>U214/10</t>
  </si>
  <si>
    <t>Concessioni di prestiti ed anticipazioni a breve termine</t>
  </si>
  <si>
    <t>U214/20</t>
  </si>
  <si>
    <t>Deposito a cauzione presso terzi</t>
  </si>
  <si>
    <t>U214/30</t>
  </si>
  <si>
    <t>Concessione di crediti diversi</t>
  </si>
  <si>
    <t>TOTALE CATEGORIA U2.1.4</t>
  </si>
  <si>
    <t>U2.1.5</t>
  </si>
  <si>
    <t>Categoria 2.1.5 - INDENNITÀ DI ANZIANITÀ E SIMILARI DOVUTE AL PERSONALE CESSATO DAL SERVIZIO.</t>
  </si>
  <si>
    <t>U215/10</t>
  </si>
  <si>
    <t>Versamento in conto depositi bancari vincolati per il fondo indennità di licenziamento</t>
  </si>
  <si>
    <t>U215/20</t>
  </si>
  <si>
    <t>Versamento a compagnie di assicurazione per polizze contratte per indenn.licenziam.del pers.dipendente</t>
  </si>
  <si>
    <t>U215/30</t>
  </si>
  <si>
    <t xml:space="preserve">Indennità di anzianità </t>
  </si>
  <si>
    <t>TOTALE CATEGORIA U2.1.5</t>
  </si>
  <si>
    <t>U2.2.1</t>
  </si>
  <si>
    <t>Categoria 2.2.1 - RIMBORSI DI MUTUI</t>
  </si>
  <si>
    <t>U221/10</t>
  </si>
  <si>
    <t>Rimborso di finanziamenti a breve termine</t>
  </si>
  <si>
    <t>U221/20</t>
  </si>
  <si>
    <t>Rimborso di finanziamenti a medio e lungo termine</t>
  </si>
  <si>
    <t>TOTALE CATEGORIA U2.2.1</t>
  </si>
  <si>
    <t>U2.2.2</t>
  </si>
  <si>
    <t>Categoria 2.2.2 - RIMBORSO DI ANTICIPAZIONI PASSIVE</t>
  </si>
  <si>
    <t>U222/10</t>
  </si>
  <si>
    <t>Rimborso di anticipazioni passive</t>
  </si>
  <si>
    <t>TOTALE CATEGORIA U2.2.2</t>
  </si>
  <si>
    <t>U2.2.3</t>
  </si>
  <si>
    <t>Categoria 2.2.3 - RIMBORSI DI  OBBLIGAZIONI</t>
  </si>
  <si>
    <t>U223/10</t>
  </si>
  <si>
    <t>Rimborso di obbligazioni</t>
  </si>
  <si>
    <t>TOTALE CATEGORIA U2.2.3</t>
  </si>
  <si>
    <t>U2.2.4</t>
  </si>
  <si>
    <t>Categoria 2.2.4 - RESTITUZIONI ALLE GESTIONI  AUTONOME DI ANTICIPAZIONI</t>
  </si>
  <si>
    <t>U224/10</t>
  </si>
  <si>
    <t>Restituzione alle gestioni autonome di anticipazioni</t>
  </si>
  <si>
    <t>TOTALE CATEGORIA U2.2.4</t>
  </si>
  <si>
    <t>U2.2.5</t>
  </si>
  <si>
    <t>Categoria 2.2.5 - ESTINZIONI DEBITI DIVERSI</t>
  </si>
  <si>
    <t>U225/10</t>
  </si>
  <si>
    <t>Restituzione depositi di terzi e cauzione</t>
  </si>
  <si>
    <t>TOTALE CATEGORIA U2.2.5</t>
  </si>
  <si>
    <t>TOTALE TITOLO U2</t>
  </si>
  <si>
    <t>U3</t>
  </si>
  <si>
    <t>UPB 3 - TITOLO III - PARTITE DI GIRO</t>
  </si>
  <si>
    <t>U3.1.1</t>
  </si>
  <si>
    <t>Categoria 3.1.1 - USCITE AVENTI NATURA DI PARTITE DI GIRO</t>
  </si>
  <si>
    <t>U311/10</t>
  </si>
  <si>
    <t>U311/20</t>
  </si>
  <si>
    <t>U311/30</t>
  </si>
  <si>
    <t>U311/40</t>
  </si>
  <si>
    <t>Anticipazioni dell'Autorità Portuale al personale</t>
  </si>
  <si>
    <t>U311/50</t>
  </si>
  <si>
    <t>Versamento trattenute a favore di terzi</t>
  </si>
  <si>
    <t>U311/60</t>
  </si>
  <si>
    <t>Somme pagate per conto terzi</t>
  </si>
  <si>
    <t>U311/70</t>
  </si>
  <si>
    <t>U311/80</t>
  </si>
  <si>
    <t>Anticipazione fondo economato</t>
  </si>
  <si>
    <t>U311/90</t>
  </si>
  <si>
    <t>TOTALE CATEGORIA U3.1.1</t>
  </si>
  <si>
    <t>TOTALE TITOLO U3</t>
  </si>
  <si>
    <t>Gestione dei residui passivi</t>
  </si>
  <si>
    <t>RENDICONTO FINANZIARIO DECISIONALE</t>
  </si>
  <si>
    <t>03/04/2017</t>
  </si>
  <si>
    <t>ENTRATE</t>
  </si>
  <si>
    <t>Residui</t>
  </si>
  <si>
    <t>Competenza (Accertamenti)</t>
  </si>
  <si>
    <t>Cassa (Riscossioni)</t>
  </si>
  <si>
    <r>
      <t xml:space="preserve">  </t>
    </r>
    <r>
      <rPr>
        <b/>
        <sz val="5.95"/>
        <color indexed="8"/>
        <rFont val="Arial"/>
        <family val="2"/>
      </rPr>
      <t>E1.1</t>
    </r>
  </si>
  <si>
    <t>UPB 1.1 - ENTRATE DERIVANTI DA TRASFERIMENTI CORRENTI</t>
  </si>
  <si>
    <r>
      <t xml:space="preserve">    </t>
    </r>
    <r>
      <rPr>
        <sz val="5.95"/>
        <color indexed="8"/>
        <rFont val="Arial"/>
        <family val="2"/>
      </rPr>
      <t>E1.1.1</t>
    </r>
  </si>
  <si>
    <r>
      <t xml:space="preserve">    </t>
    </r>
    <r>
      <rPr>
        <sz val="5.95"/>
        <color indexed="8"/>
        <rFont val="Arial"/>
        <family val="2"/>
      </rPr>
      <t>E1.1.2</t>
    </r>
  </si>
  <si>
    <r>
      <t xml:space="preserve">    </t>
    </r>
    <r>
      <rPr>
        <sz val="5.95"/>
        <color indexed="8"/>
        <rFont val="Arial"/>
        <family val="2"/>
      </rPr>
      <t>E1.1.3</t>
    </r>
  </si>
  <si>
    <r>
      <t xml:space="preserve">    </t>
    </r>
    <r>
      <rPr>
        <sz val="5.95"/>
        <color indexed="8"/>
        <rFont val="Arial"/>
        <family val="2"/>
      </rPr>
      <t>E1.1.4</t>
    </r>
  </si>
  <si>
    <t>TOTALE UPB 1.1 - ENTRATE DERIVANTI DA TRASFERIMENTI CORRENTI</t>
  </si>
  <si>
    <r>
      <t xml:space="preserve">  </t>
    </r>
    <r>
      <rPr>
        <b/>
        <sz val="5.95"/>
        <color indexed="8"/>
        <rFont val="Arial"/>
        <family val="2"/>
      </rPr>
      <t>E1.2</t>
    </r>
  </si>
  <si>
    <t>UPB 1.2 - ENTRATE DIVERSE</t>
  </si>
  <si>
    <r>
      <t xml:space="preserve">    </t>
    </r>
    <r>
      <rPr>
        <sz val="5.95"/>
        <color indexed="8"/>
        <rFont val="Arial"/>
        <family val="2"/>
      </rPr>
      <t>E1.2.1</t>
    </r>
  </si>
  <si>
    <r>
      <t xml:space="preserve">    </t>
    </r>
    <r>
      <rPr>
        <sz val="5.95"/>
        <color indexed="8"/>
        <rFont val="Arial"/>
        <family val="2"/>
      </rPr>
      <t>E1.2.2</t>
    </r>
  </si>
  <si>
    <r>
      <t xml:space="preserve">    </t>
    </r>
    <r>
      <rPr>
        <sz val="5.95"/>
        <color indexed="8"/>
        <rFont val="Arial"/>
        <family val="2"/>
      </rPr>
      <t>E1.2.3</t>
    </r>
  </si>
  <si>
    <r>
      <t xml:space="preserve">    </t>
    </r>
    <r>
      <rPr>
        <sz val="5.95"/>
        <color indexed="8"/>
        <rFont val="Arial"/>
        <family val="2"/>
      </rPr>
      <t>E1.2.4</t>
    </r>
  </si>
  <si>
    <r>
      <t xml:space="preserve">    </t>
    </r>
    <r>
      <rPr>
        <sz val="5.95"/>
        <color indexed="8"/>
        <rFont val="Arial"/>
        <family val="2"/>
      </rPr>
      <t>E1.2.5</t>
    </r>
  </si>
  <si>
    <t>TOTALE UPB 1.2 - ENTRATE DIVERSE</t>
  </si>
  <si>
    <t>TOTALE TITOLO I - ENTRATE CORRENTI</t>
  </si>
  <si>
    <r>
      <t xml:space="preserve">  </t>
    </r>
    <r>
      <rPr>
        <b/>
        <sz val="5.95"/>
        <color indexed="8"/>
        <rFont val="Arial"/>
        <family val="2"/>
      </rPr>
      <t>E2.1</t>
    </r>
  </si>
  <si>
    <t>UPB 2.1 - ENTRATE PER ALIENAZIONE DI BENI PATRIMONIALI E RISCOSSIONE DI CREDITI</t>
  </si>
  <si>
    <r>
      <t xml:space="preserve">    </t>
    </r>
    <r>
      <rPr>
        <sz val="5.95"/>
        <color indexed="8"/>
        <rFont val="Arial"/>
        <family val="2"/>
      </rPr>
      <t>E2.1.1</t>
    </r>
  </si>
  <si>
    <r>
      <t xml:space="preserve">    </t>
    </r>
    <r>
      <rPr>
        <sz val="5.95"/>
        <color indexed="8"/>
        <rFont val="Arial"/>
        <family val="2"/>
      </rPr>
      <t>E2.1.2</t>
    </r>
  </si>
  <si>
    <r>
      <t xml:space="preserve">    </t>
    </r>
    <r>
      <rPr>
        <sz val="5.95"/>
        <color indexed="8"/>
        <rFont val="Arial"/>
        <family val="2"/>
      </rPr>
      <t>E2.1.3</t>
    </r>
  </si>
  <si>
    <r>
      <t xml:space="preserve">    </t>
    </r>
    <r>
      <rPr>
        <sz val="5.95"/>
        <color indexed="8"/>
        <rFont val="Arial"/>
        <family val="2"/>
      </rPr>
      <t>E2.1.4</t>
    </r>
  </si>
  <si>
    <t>TOTALE UPB 2.1 - ENTRATE PER ALIENAZIONE DI BENI PATRIMONIALI E RISCOSSIONE DI CREDITI</t>
  </si>
  <si>
    <r>
      <t xml:space="preserve">  </t>
    </r>
    <r>
      <rPr>
        <b/>
        <sz val="5.95"/>
        <color indexed="8"/>
        <rFont val="Arial"/>
        <family val="2"/>
      </rPr>
      <t>E2.2</t>
    </r>
  </si>
  <si>
    <t>UPB 2.2 - ENTRATE DERIVANTI DA TRASFERIMENTI IN CONTO CAPITALE</t>
  </si>
  <si>
    <r>
      <t xml:space="preserve">    </t>
    </r>
    <r>
      <rPr>
        <sz val="5.95"/>
        <color indexed="8"/>
        <rFont val="Arial"/>
        <family val="2"/>
      </rPr>
      <t>E2.2.1</t>
    </r>
  </si>
  <si>
    <r>
      <t xml:space="preserve">    </t>
    </r>
    <r>
      <rPr>
        <sz val="5.95"/>
        <color indexed="8"/>
        <rFont val="Arial"/>
        <family val="2"/>
      </rPr>
      <t>E2.2.2</t>
    </r>
  </si>
  <si>
    <r>
      <t xml:space="preserve">    </t>
    </r>
    <r>
      <rPr>
        <sz val="5.95"/>
        <color indexed="8"/>
        <rFont val="Arial"/>
        <family val="2"/>
      </rPr>
      <t>E2.2.3</t>
    </r>
  </si>
  <si>
    <r>
      <t xml:space="preserve">    </t>
    </r>
    <r>
      <rPr>
        <sz val="5.95"/>
        <color indexed="8"/>
        <rFont val="Arial"/>
        <family val="2"/>
      </rPr>
      <t>E2.2.4</t>
    </r>
  </si>
  <si>
    <t>TOTALE UPB 2.2 - ENTRATE DERIVANTI DA TRASFERIMENTI IN CONTO CAPITALE</t>
  </si>
  <si>
    <r>
      <t xml:space="preserve">  </t>
    </r>
    <r>
      <rPr>
        <b/>
        <sz val="5.95"/>
        <color indexed="8"/>
        <rFont val="Arial"/>
        <family val="2"/>
      </rPr>
      <t>E2.3</t>
    </r>
  </si>
  <si>
    <t>UPB 2.3 - ACCENSIONE DI PRESTITI</t>
  </si>
  <si>
    <r>
      <t xml:space="preserve">    </t>
    </r>
    <r>
      <rPr>
        <sz val="5.95"/>
        <color indexed="8"/>
        <rFont val="Arial"/>
        <family val="2"/>
      </rPr>
      <t>E2.3.1</t>
    </r>
  </si>
  <si>
    <r>
      <t xml:space="preserve">    </t>
    </r>
    <r>
      <rPr>
        <sz val="5.95"/>
        <color indexed="8"/>
        <rFont val="Arial"/>
        <family val="2"/>
      </rPr>
      <t>E2.3.2</t>
    </r>
  </si>
  <si>
    <r>
      <t xml:space="preserve">    </t>
    </r>
    <r>
      <rPr>
        <sz val="5.95"/>
        <color indexed="8"/>
        <rFont val="Arial"/>
        <family val="2"/>
      </rPr>
      <t>E2.3.3</t>
    </r>
  </si>
  <si>
    <t>TOTALE UPB 2.3 - ACCENSIONE DI PRESTITI</t>
  </si>
  <si>
    <t>TOTALE TITOLO II - ENTRATE IN CONTO CAPITALE</t>
  </si>
  <si>
    <r>
      <t xml:space="preserve">  </t>
    </r>
    <r>
      <rPr>
        <b/>
        <sz val="5.95"/>
        <color indexed="8"/>
        <rFont val="Arial"/>
        <family val="2"/>
      </rPr>
      <t>E3.1</t>
    </r>
  </si>
  <si>
    <t>UPB 3.1 - ENTRATE AVENTI NATURA DI PARTITA DI GIRO</t>
  </si>
  <si>
    <r>
      <t xml:space="preserve">    </t>
    </r>
    <r>
      <rPr>
        <sz val="5.95"/>
        <color indexed="8"/>
        <rFont val="Arial"/>
        <family val="2"/>
      </rPr>
      <t>E3.1.1</t>
    </r>
  </si>
  <si>
    <t>TOTALE UPB 3.1 - ENTRATE AVENTI NATURA DI PARTITA DI GIRO</t>
  </si>
  <si>
    <t>TOTALE TITOLO III - PARTITE DI GIRO</t>
  </si>
  <si>
    <t>TOTALE GENERALE ENTRATE</t>
  </si>
  <si>
    <t>USCITE</t>
  </si>
  <si>
    <t>Competenza (Impegni)</t>
  </si>
  <si>
    <t>Cassa (Pagamenti)</t>
  </si>
  <si>
    <t xml:space="preserve">              Cassa                (Pagamenti)</t>
  </si>
  <si>
    <r>
      <t xml:space="preserve">  </t>
    </r>
    <r>
      <rPr>
        <b/>
        <sz val="5.95"/>
        <color indexed="8"/>
        <rFont val="Arial"/>
        <family val="2"/>
      </rPr>
      <t>U1.1</t>
    </r>
  </si>
  <si>
    <t>1.1 - FUNZIONAMENTO</t>
  </si>
  <si>
    <r>
      <t xml:space="preserve">    </t>
    </r>
    <r>
      <rPr>
        <sz val="5.95"/>
        <color indexed="8"/>
        <rFont val="Arial"/>
        <family val="2"/>
      </rPr>
      <t>U1.1.1</t>
    </r>
  </si>
  <si>
    <r>
      <t xml:space="preserve">    </t>
    </r>
    <r>
      <rPr>
        <sz val="5.95"/>
        <color indexed="8"/>
        <rFont val="Arial"/>
        <family val="2"/>
      </rPr>
      <t>U1.1.2</t>
    </r>
  </si>
  <si>
    <r>
      <t xml:space="preserve">    </t>
    </r>
    <r>
      <rPr>
        <sz val="5.95"/>
        <color indexed="8"/>
        <rFont val="Arial"/>
        <family val="2"/>
      </rPr>
      <t>U1.1.3</t>
    </r>
  </si>
  <si>
    <t>TOTALE 1.1 - FUNZIONAMENTO</t>
  </si>
  <si>
    <r>
      <t xml:space="preserve">  </t>
    </r>
    <r>
      <rPr>
        <b/>
        <sz val="5.95"/>
        <color indexed="8"/>
        <rFont val="Arial"/>
        <family val="2"/>
      </rPr>
      <t>U1.2</t>
    </r>
  </si>
  <si>
    <t>1.2 - INTERVENTI DIVERSI</t>
  </si>
  <si>
    <r>
      <t xml:space="preserve">    </t>
    </r>
    <r>
      <rPr>
        <sz val="5.95"/>
        <color indexed="8"/>
        <rFont val="Arial"/>
        <family val="2"/>
      </rPr>
      <t>U1.2.1</t>
    </r>
  </si>
  <si>
    <r>
      <t xml:space="preserve">    </t>
    </r>
    <r>
      <rPr>
        <sz val="5.95"/>
        <color indexed="8"/>
        <rFont val="Arial"/>
        <family val="2"/>
      </rPr>
      <t>U1.2.2</t>
    </r>
  </si>
  <si>
    <r>
      <t xml:space="preserve">    </t>
    </r>
    <r>
      <rPr>
        <sz val="5.95"/>
        <color indexed="8"/>
        <rFont val="Arial"/>
        <family val="2"/>
      </rPr>
      <t>U1.2.3</t>
    </r>
  </si>
  <si>
    <r>
      <t xml:space="preserve">    </t>
    </r>
    <r>
      <rPr>
        <sz val="5.95"/>
        <color indexed="8"/>
        <rFont val="Arial"/>
        <family val="2"/>
      </rPr>
      <t>U1.2.4</t>
    </r>
  </si>
  <si>
    <r>
      <t xml:space="preserve">    </t>
    </r>
    <r>
      <rPr>
        <sz val="5.95"/>
        <color indexed="8"/>
        <rFont val="Arial"/>
        <family val="2"/>
      </rPr>
      <t>U1.2.5</t>
    </r>
  </si>
  <si>
    <r>
      <t xml:space="preserve">    </t>
    </r>
    <r>
      <rPr>
        <sz val="5.95"/>
        <color indexed="8"/>
        <rFont val="Arial"/>
        <family val="2"/>
      </rPr>
      <t>U1.2.6</t>
    </r>
  </si>
  <si>
    <t>TOTALE 1.2 - INTERVENTI DIVERSI</t>
  </si>
  <si>
    <r>
      <t xml:space="preserve">  </t>
    </r>
    <r>
      <rPr>
        <b/>
        <sz val="5.95"/>
        <color indexed="8"/>
        <rFont val="Arial"/>
        <family val="2"/>
      </rPr>
      <t>U1.3</t>
    </r>
  </si>
  <si>
    <t>1.3 - TRATTAMENTI DI QUIESCENZA, INTEGRATIVI E SOSTITUTIVI</t>
  </si>
  <si>
    <r>
      <t xml:space="preserve">    </t>
    </r>
    <r>
      <rPr>
        <sz val="5.95"/>
        <color indexed="8"/>
        <rFont val="Arial"/>
        <family val="2"/>
      </rPr>
      <t>U1.3.1</t>
    </r>
  </si>
  <si>
    <r>
      <t xml:space="preserve">    </t>
    </r>
    <r>
      <rPr>
        <sz val="5.95"/>
        <color indexed="8"/>
        <rFont val="Arial"/>
        <family val="2"/>
      </rPr>
      <t>U1.3.2</t>
    </r>
  </si>
  <si>
    <t>TOTALE 1.3 - TRATTAMENTI DI QUIESCENZA, INTEGRATIVI E SOSTITUTIVI</t>
  </si>
  <si>
    <r>
      <t xml:space="preserve">  </t>
    </r>
    <r>
      <rPr>
        <b/>
        <sz val="5.95"/>
        <color indexed="8"/>
        <rFont val="Arial"/>
        <family val="2"/>
      </rPr>
      <t>U1.4</t>
    </r>
  </si>
  <si>
    <t>1.4 - ACCANTONAMENTI A FONDI RISCHI ED ONERI</t>
  </si>
  <si>
    <r>
      <t xml:space="preserve">    </t>
    </r>
    <r>
      <rPr>
        <sz val="5.95"/>
        <color indexed="8"/>
        <rFont val="Arial"/>
        <family val="2"/>
      </rPr>
      <t>U1.4.1</t>
    </r>
  </si>
  <si>
    <t>TOTALE 1.4 - ACCANTONAMENTI A FONDI RISCHI ED ONERI</t>
  </si>
  <si>
    <r>
      <t xml:space="preserve">  </t>
    </r>
    <r>
      <rPr>
        <b/>
        <sz val="5.95"/>
        <color indexed="8"/>
        <rFont val="Arial"/>
        <family val="2"/>
      </rPr>
      <t>U1.5</t>
    </r>
  </si>
  <si>
    <t>1.5 - ACCANTONAMENTI A FONDI RISCHI ED ONERI</t>
  </si>
  <si>
    <t>TOTALE 1.5 - ACCANTONAMENTI A FONDI RISCHI ED ONERI</t>
  </si>
  <si>
    <t>TOTALE UPB 1 - TITOLO I - USCITE CORRENTI</t>
  </si>
  <si>
    <r>
      <t xml:space="preserve">  </t>
    </r>
    <r>
      <rPr>
        <b/>
        <sz val="5.95"/>
        <color indexed="8"/>
        <rFont val="Arial"/>
        <family val="2"/>
      </rPr>
      <t>U2.1</t>
    </r>
  </si>
  <si>
    <t>2.1 - INVESTIMENTI</t>
  </si>
  <si>
    <r>
      <t xml:space="preserve">    </t>
    </r>
    <r>
      <rPr>
        <sz val="5.95"/>
        <color indexed="8"/>
        <rFont val="Arial"/>
        <family val="2"/>
      </rPr>
      <t>U2.1.1</t>
    </r>
  </si>
  <si>
    <r>
      <t xml:space="preserve">    </t>
    </r>
    <r>
      <rPr>
        <sz val="5.95"/>
        <color indexed="8"/>
        <rFont val="Arial"/>
        <family val="2"/>
      </rPr>
      <t>U2.1.2</t>
    </r>
  </si>
  <si>
    <r>
      <t xml:space="preserve">    </t>
    </r>
    <r>
      <rPr>
        <sz val="5.95"/>
        <color indexed="8"/>
        <rFont val="Arial"/>
        <family val="2"/>
      </rPr>
      <t>U2.1.3</t>
    </r>
  </si>
  <si>
    <t>Categoria 2.1.3 PARTECIPAZIONI A PROGETTI EUROPEI, NAZIONALI E REGIONALI ED ACQUISTO DI VALORI MOBILIARI</t>
  </si>
  <si>
    <r>
      <t xml:space="preserve">    </t>
    </r>
    <r>
      <rPr>
        <sz val="5.95"/>
        <color indexed="8"/>
        <rFont val="Arial"/>
        <family val="2"/>
      </rPr>
      <t>U2.1.4</t>
    </r>
  </si>
  <si>
    <r>
      <t xml:space="preserve">    </t>
    </r>
    <r>
      <rPr>
        <sz val="5.95"/>
        <color indexed="8"/>
        <rFont val="Arial"/>
        <family val="2"/>
      </rPr>
      <t>U2.1.5</t>
    </r>
  </si>
  <si>
    <t>TOTALE 2.1 - INVESTIMENTI</t>
  </si>
  <si>
    <r>
      <t xml:space="preserve">  </t>
    </r>
    <r>
      <rPr>
        <b/>
        <sz val="5.95"/>
        <color indexed="8"/>
        <rFont val="Arial"/>
        <family val="2"/>
      </rPr>
      <t>U2.2</t>
    </r>
  </si>
  <si>
    <t>2.2 - ONERI COMUNI</t>
  </si>
  <si>
    <r>
      <t xml:space="preserve">    </t>
    </r>
    <r>
      <rPr>
        <sz val="5.95"/>
        <color indexed="8"/>
        <rFont val="Arial"/>
        <family val="2"/>
      </rPr>
      <t>U2.2.1</t>
    </r>
  </si>
  <si>
    <r>
      <t xml:space="preserve">    </t>
    </r>
    <r>
      <rPr>
        <sz val="5.95"/>
        <color indexed="8"/>
        <rFont val="Arial"/>
        <family val="2"/>
      </rPr>
      <t>U2.2.2</t>
    </r>
  </si>
  <si>
    <r>
      <t xml:space="preserve">    </t>
    </r>
    <r>
      <rPr>
        <sz val="5.95"/>
        <color indexed="8"/>
        <rFont val="Arial"/>
        <family val="2"/>
      </rPr>
      <t>U2.2.3</t>
    </r>
  </si>
  <si>
    <r>
      <t xml:space="preserve">    </t>
    </r>
    <r>
      <rPr>
        <sz val="5.95"/>
        <color indexed="8"/>
        <rFont val="Arial"/>
        <family val="2"/>
      </rPr>
      <t>U2.2.4</t>
    </r>
  </si>
  <si>
    <r>
      <t xml:space="preserve">    </t>
    </r>
    <r>
      <rPr>
        <sz val="5.95"/>
        <color indexed="8"/>
        <rFont val="Arial"/>
        <family val="2"/>
      </rPr>
      <t>U2.2.5</t>
    </r>
  </si>
  <si>
    <t>TOTALE 2.2 - ONERI COMUNI</t>
  </si>
  <si>
    <t>TOTALE UPB 2 - TITOLO II - USCITE IN CONTO CAPITALE</t>
  </si>
  <si>
    <r>
      <t xml:space="preserve">  </t>
    </r>
    <r>
      <rPr>
        <b/>
        <sz val="5.95"/>
        <color indexed="8"/>
        <rFont val="Arial"/>
        <family val="2"/>
      </rPr>
      <t>U3.1</t>
    </r>
  </si>
  <si>
    <t>3.1 - USCITE AVENTI NATURA DI PARTITA DI GIRO</t>
  </si>
  <si>
    <r>
      <t xml:space="preserve">    </t>
    </r>
    <r>
      <rPr>
        <sz val="5.95"/>
        <color indexed="8"/>
        <rFont val="Arial"/>
        <family val="2"/>
      </rPr>
      <t>U3.1.1</t>
    </r>
  </si>
  <si>
    <t>TOTALE 3.1 - USCITE AVENTI NATURA DI PARTITA DI GIRO</t>
  </si>
  <si>
    <t>TOTALE UPB 3 - TITOLO III - PARTITE DI GIRO</t>
  </si>
  <si>
    <t>TOTALE GENERALE USCITE</t>
  </si>
  <si>
    <t>QUADRO GENERALE RIASSUNTIVO CONSUNTIVO</t>
  </si>
  <si>
    <t>COMPETENZA</t>
  </si>
  <si>
    <t>CASSA</t>
  </si>
  <si>
    <r>
      <t xml:space="preserve">    </t>
    </r>
    <r>
      <rPr>
        <sz val="8"/>
        <rFont val="Arial"/>
        <family val="2"/>
      </rPr>
      <t>UPB 1.1 - ENTRATE DERIVANTI DA TRASFERIMENTI CORRENTI</t>
    </r>
  </si>
  <si>
    <r>
      <t xml:space="preserve">    </t>
    </r>
    <r>
      <rPr>
        <sz val="8"/>
        <rFont val="Arial"/>
        <family val="2"/>
      </rPr>
      <t>UPB 1.2 - ENTRATE DIVERSE</t>
    </r>
  </si>
  <si>
    <t>TOTALE TITOLO I</t>
  </si>
  <si>
    <r>
      <t xml:space="preserve">    </t>
    </r>
    <r>
      <rPr>
        <sz val="8"/>
        <rFont val="Arial"/>
        <family val="2"/>
      </rPr>
      <t>UPB 2.1 - ENTRATE PER ALIENAZIONE DI BENI PATRIMONIALI E RISCOSSIONE DI CREDITI</t>
    </r>
  </si>
  <si>
    <r>
      <t xml:space="preserve">    </t>
    </r>
    <r>
      <rPr>
        <sz val="8"/>
        <rFont val="Arial"/>
        <family val="2"/>
      </rPr>
      <t>UPB 2.2 - ENTRATE DERIVANTI DA TRASFERIMENTI IN CONTO CAPITALE</t>
    </r>
  </si>
  <si>
    <r>
      <t xml:space="preserve">    </t>
    </r>
    <r>
      <rPr>
        <sz val="8"/>
        <rFont val="Arial"/>
        <family val="2"/>
      </rPr>
      <t>UPB 2.3 - ACCENSIONE DI PRESTITI</t>
    </r>
  </si>
  <si>
    <t>TOTALE TITOLO II</t>
  </si>
  <si>
    <r>
      <t xml:space="preserve">    </t>
    </r>
    <r>
      <rPr>
        <sz val="8"/>
        <rFont val="Arial"/>
        <family val="2"/>
      </rPr>
      <t>UPB 3.1 - ENTRATE AVENTI NATURA DI PARTITA DI GIRO</t>
    </r>
  </si>
  <si>
    <t>TOTALE TITOLO III</t>
  </si>
  <si>
    <t>Utilizzo dell'avanzo di amministrazione iniziale</t>
  </si>
  <si>
    <t>Totali a pareggio</t>
  </si>
  <si>
    <r>
      <t xml:space="preserve">    </t>
    </r>
    <r>
      <rPr>
        <sz val="8"/>
        <rFont val="Arial"/>
        <family val="2"/>
      </rPr>
      <t>1.1 - FUNZIONAMENTO</t>
    </r>
  </si>
  <si>
    <r>
      <t xml:space="preserve">    </t>
    </r>
    <r>
      <rPr>
        <sz val="8"/>
        <rFont val="Arial"/>
        <family val="2"/>
      </rPr>
      <t>1.2 - INTERVENTI DIVERSI</t>
    </r>
  </si>
  <si>
    <r>
      <t xml:space="preserve">    </t>
    </r>
    <r>
      <rPr>
        <sz val="8"/>
        <rFont val="Arial"/>
        <family val="2"/>
      </rPr>
      <t>1.3 - TRATTAMENTI DI QUIESCENZA, INTEGRATIVI E SOSTITUTIVI</t>
    </r>
  </si>
  <si>
    <r>
      <t xml:space="preserve">    </t>
    </r>
    <r>
      <rPr>
        <sz val="8"/>
        <rFont val="Arial"/>
        <family val="2"/>
      </rPr>
      <t>1.4 - ACCANTONAMENTI A FONDI RISCHI ED ONERI</t>
    </r>
  </si>
  <si>
    <r>
      <t xml:space="preserve">    </t>
    </r>
    <r>
      <rPr>
        <sz val="8"/>
        <rFont val="Arial"/>
        <family val="2"/>
      </rPr>
      <t>1.5 - ACCANTONAMENTI A FONDI RISCHI ED ONERI</t>
    </r>
  </si>
  <si>
    <t>TOTALE TITOLO I- UPB 1</t>
  </si>
  <si>
    <r>
      <t xml:space="preserve">    </t>
    </r>
    <r>
      <rPr>
        <sz val="8"/>
        <rFont val="Arial"/>
        <family val="2"/>
      </rPr>
      <t>2.1 - INVESTIMENTI</t>
    </r>
  </si>
  <si>
    <r>
      <t xml:space="preserve">    </t>
    </r>
    <r>
      <rPr>
        <sz val="8"/>
        <rFont val="Arial"/>
        <family val="2"/>
      </rPr>
      <t>2.2 - ONERI COMUNI</t>
    </r>
  </si>
  <si>
    <t>TOTALE TITOLO II - UPB 2</t>
  </si>
  <si>
    <r>
      <t xml:space="preserve">    </t>
    </r>
    <r>
      <rPr>
        <sz val="8"/>
        <rFont val="Arial"/>
        <family val="2"/>
      </rPr>
      <t>3.1 - USCITE AVENTI NATURA DI PARTITA DI GIRO</t>
    </r>
  </si>
  <si>
    <t>TOTALE TITOLO III - UPB. 3</t>
  </si>
  <si>
    <t>Copertura del disavanzo di amministrazione iniziale</t>
  </si>
  <si>
    <t>RISULTATI DIFFERENZIALI</t>
  </si>
  <si>
    <t>Situazione Finanziaria</t>
  </si>
  <si>
    <t>Saldo movimenti in c/capitale</t>
  </si>
  <si>
    <t>Indebitamento/Accreditamento netto</t>
  </si>
  <si>
    <t>Saldo netto da finanziare/impiegare</t>
  </si>
  <si>
    <t>Saldo complessivo</t>
  </si>
  <si>
    <t>mod. SITUAM (previsto dall'art. 42)</t>
  </si>
  <si>
    <t>Consistenza della cassa all'inizio dell'esercizio</t>
  </si>
  <si>
    <t>in c/competenza</t>
  </si>
  <si>
    <t xml:space="preserve"> </t>
  </si>
  <si>
    <t>in c/residui</t>
  </si>
  <si>
    <t>Consistenza della cassa alla fine dell'esercizio</t>
  </si>
  <si>
    <t>Residui attivi</t>
  </si>
  <si>
    <t>degli esercizi precedenti</t>
  </si>
  <si>
    <t>dell'esercizio</t>
  </si>
  <si>
    <t>Residui passivi</t>
  </si>
  <si>
    <t>Avanzo</t>
  </si>
  <si>
    <t>dell'amministrazione alla fine dell'esercizio</t>
  </si>
  <si>
    <t>Disavanzo</t>
  </si>
  <si>
    <t>Parte vincolata</t>
  </si>
  <si>
    <t>al Trattamento di fine rapporto</t>
  </si>
  <si>
    <t>………………………………….</t>
  </si>
  <si>
    <t>al Fondo ripristino investimenti</t>
  </si>
  <si>
    <t>SEC</t>
  </si>
  <si>
    <t>per i seguenti altri vincolii</t>
  </si>
  <si>
    <t>delibera cipe diga e darsena al netto degli edifici</t>
  </si>
  <si>
    <t>…………………………………</t>
  </si>
  <si>
    <t>4015587 protocollo dragaggi al netto di 2150000 impegnati</t>
  </si>
  <si>
    <t>fondo acc.to per crediti di difficile esigibilità</t>
  </si>
  <si>
    <t>inserire il 4° vincolo tecnomecc ed aggiornare i precedenti</t>
  </si>
  <si>
    <t>assestato</t>
  </si>
  <si>
    <t>art 199</t>
  </si>
  <si>
    <t>somme vincolate per immobilizzazioni finanziarie</t>
  </si>
  <si>
    <t xml:space="preserve"> permanente della falda nell’area Ex Yard Belleli ricompresa nel SIN di Taranto</t>
  </si>
  <si>
    <t>Regione Puglia - intervento di completamento della messa in sicurezza</t>
  </si>
  <si>
    <t>anticipazione fondo complementare PNRR d.l. 59/2021</t>
  </si>
  <si>
    <t>Totale parte vincolata</t>
  </si>
  <si>
    <t>…………………………………………………….</t>
  </si>
  <si>
    <t>………………</t>
  </si>
  <si>
    <t>………………………………………..</t>
  </si>
  <si>
    <t>al netto del finanziamento di € 34.590.000 non più disponibile</t>
  </si>
  <si>
    <t>Totale parte disponibile</t>
  </si>
  <si>
    <t>ok</t>
  </si>
  <si>
    <t>Anno 2023</t>
  </si>
  <si>
    <t>L'utilizzazione dell'avanzo di amministrazione per l'esercizio 2024 risulta così prevista:</t>
  </si>
  <si>
    <t xml:space="preserve">Residui </t>
  </si>
  <si>
    <t>SITUAZIONE AMMINISTRATIVA</t>
  </si>
  <si>
    <t>Residui da fare</t>
  </si>
  <si>
    <t>Totale Risultato di amministrazione  al 31/12/2024</t>
  </si>
  <si>
    <t xml:space="preserve">USCITE PARTE II                                                    Dal 01/01/2024                  Al 31/12/2024                    Anno di gestione: 2024                              </t>
  </si>
  <si>
    <t xml:space="preserve">USCITE PARTE I                                                    Dal 01/01/2024                  Al 31/12/2024                  Anno di gestione: 2024                               </t>
  </si>
  <si>
    <t xml:space="preserve">ENTRATE PARTE II                                                    Dal 01/01/2024                    Al 31/12/2024                 Anno di gestione: 2024                               </t>
  </si>
  <si>
    <t xml:space="preserve">ENTRATE PARTE I                                                    Dal 01/01/2024                    Al 31/12/2024                    Anno di gestione: 2024                                 </t>
  </si>
  <si>
    <t xml:space="preserve">ai Fondi per rischi ed oneri per contenzioso </t>
  </si>
  <si>
    <t>somme vincolate per canoni demaniali</t>
  </si>
  <si>
    <t>somme vincolate per deposito merci in porto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</si>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</sst>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###,##0.00"/>
    <numFmt numFmtId="165" formatCode="_-[$€-2]\ * #,##0.00_-;\-[$€-2]\ * #,##0.00_-;_-[$€-2]\ * &quot;-&quot;??_-"/>
    <numFmt numFmtId="166" formatCode="_-&quot;€&quot;\ * #,##0.00_-;\-&quot;€&quot;\ * #,##0.00_-;_-&quot;€&quot;\ * &quot;-&quot;??_-;_-@_-"/>
    <numFmt numFmtId="167" formatCode="_-* #,##0.00\ _€_-;\-* #,##0.00\ _€_-;_-* &quot;-&quot;??\ _€_-;_-@_-"/>
    <numFmt numFmtId="168" formatCode="[$-10410]###,##0.00"/>
    <numFmt numFmtId="169" formatCode="_-[$€]\ * #,##0_-;\-[$€]\ * #,##0_-;_-[$€]\ * &quot;-&quot;??_-;_-@_-"/>
    <numFmt numFmtId="170" formatCode="&quot;€&quot;\ #,##0;[Red]\-&quot;€&quot;\ #,##0"/>
    <numFmt numFmtId="171" formatCode="_-[$€]\ * #,##0.00_-;\-[$€]\ * #,##0.00_-;_-[$€]\ * &quot;-&quot;??_-;_-@_-"/>
    <numFmt numFmtId="172" formatCode="_-* #,##0.00\ [$€-1007]_-;\-* #,##0.00\ [$€-1007]_-;_-* &quot;-&quot;??\ [$€-1007]_-;_-@_-"/>
    <numFmt numFmtId="173" formatCode="_-[$€-410]\ * #,##0_-;\-[$€-410]\ * #,##0_-;_-[$€-410]\ * &quot;-&quot;??_-;_-@_-"/>
    <numFmt numFmtId="174" formatCode="_-[$€-410]\ * #,##0.00_-;\-[$€-410]\ * #,##0.00_-;_-[$€-410]\ 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sz val="7"/>
      <color indexed="8"/>
      <name val="Arial"/>
      <family val="2"/>
    </font>
    <font>
      <sz val="7"/>
      <color indexed="10"/>
      <name val="Arial"/>
      <family val="2"/>
    </font>
    <font>
      <b/>
      <i/>
      <sz val="5.95"/>
      <color indexed="10"/>
      <name val="Arial"/>
      <family val="2"/>
    </font>
    <font>
      <b/>
      <sz val="5.95"/>
      <color indexed="10"/>
      <name val="Arial"/>
      <family val="2"/>
    </font>
    <font>
      <b/>
      <sz val="5.95"/>
      <color indexed="8"/>
      <name val="Arial"/>
      <family val="2"/>
    </font>
    <font>
      <sz val="5.95"/>
      <color indexed="8"/>
      <name val="Arial"/>
      <family val="2"/>
    </font>
    <font>
      <sz val="5.95"/>
      <name val="Arial"/>
      <family val="2"/>
    </font>
    <font>
      <b/>
      <i/>
      <sz val="5.95"/>
      <color indexed="8"/>
      <name val="Arial"/>
      <family val="2"/>
    </font>
    <font>
      <b/>
      <i/>
      <sz val="6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12"/>
      <name val="Tahoma"/>
      <family val="2"/>
    </font>
    <font>
      <b/>
      <sz val="9"/>
      <color indexed="15"/>
      <name val="Arial"/>
      <family val="2"/>
    </font>
    <font>
      <sz val="10"/>
      <name val="Courier New"/>
      <family val="3"/>
    </font>
    <font>
      <sz val="8"/>
      <name val="Arial"/>
      <family val="2"/>
    </font>
    <font>
      <b/>
      <sz val="8"/>
      <name val="Arial"/>
      <family val="2"/>
    </font>
    <font>
      <b/>
      <sz val="8"/>
      <name val="Tahoma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Tahoma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3"/>
        <bgColor indexed="0"/>
      </patternFill>
    </fill>
    <fill>
      <patternFill patternType="solid">
        <fgColor indexed="14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indexed="10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/>
      <top style="thin">
        <color indexed="17"/>
      </top>
      <bottom style="thin">
        <color indexed="17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14"/>
      </top>
      <bottom style="thin">
        <color indexed="1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164" fontId="3" fillId="0" borderId="6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164" fontId="4" fillId="0" borderId="14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164" fontId="3" fillId="0" borderId="14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43" fontId="0" fillId="0" borderId="0" xfId="1" applyFont="1"/>
    <xf numFmtId="0" fontId="6" fillId="0" borderId="0" xfId="3"/>
    <xf numFmtId="0" fontId="10" fillId="4" borderId="22" xfId="3" applyFont="1" applyFill="1" applyBorder="1" applyAlignment="1" applyProtection="1">
      <alignment vertical="center" wrapText="1" readingOrder="1"/>
      <protection locked="0"/>
    </xf>
    <xf numFmtId="0" fontId="10" fillId="4" borderId="22" xfId="3" applyFont="1" applyFill="1" applyBorder="1" applyAlignment="1" applyProtection="1">
      <alignment horizontal="center" vertical="center" wrapText="1" readingOrder="1"/>
      <protection locked="0"/>
    </xf>
    <xf numFmtId="0" fontId="12" fillId="5" borderId="22" xfId="3" applyFont="1" applyFill="1" applyBorder="1" applyAlignment="1" applyProtection="1">
      <alignment vertical="center" wrapText="1" readingOrder="1"/>
      <protection locked="0"/>
    </xf>
    <xf numFmtId="0" fontId="11" fillId="5" borderId="22" xfId="3" applyFont="1" applyFill="1" applyBorder="1" applyAlignment="1" applyProtection="1">
      <alignment horizontal="right" vertical="center" wrapText="1" readingOrder="1"/>
      <protection locked="0"/>
    </xf>
    <xf numFmtId="0" fontId="13" fillId="6" borderId="22" xfId="3" applyFont="1" applyFill="1" applyBorder="1" applyAlignment="1" applyProtection="1">
      <alignment vertical="center" wrapText="1" readingOrder="1"/>
      <protection locked="0"/>
    </xf>
    <xf numFmtId="0" fontId="13" fillId="7" borderId="22" xfId="3" applyFont="1" applyFill="1" applyBorder="1" applyAlignment="1" applyProtection="1">
      <alignment vertical="center" wrapText="1" readingOrder="1"/>
      <protection locked="0"/>
    </xf>
    <xf numFmtId="0" fontId="14" fillId="0" borderId="22" xfId="3" applyFont="1" applyBorder="1" applyAlignment="1" applyProtection="1">
      <alignment vertical="center" wrapText="1" readingOrder="1"/>
      <protection locked="0"/>
    </xf>
    <xf numFmtId="168" fontId="14" fillId="0" borderId="22" xfId="3" applyNumberFormat="1" applyFont="1" applyBorder="1" applyAlignment="1" applyProtection="1">
      <alignment horizontal="right" vertical="center" wrapText="1" readingOrder="1"/>
      <protection locked="0"/>
    </xf>
    <xf numFmtId="168" fontId="13" fillId="0" borderId="22" xfId="3" applyNumberFormat="1" applyFont="1" applyBorder="1" applyAlignment="1" applyProtection="1">
      <alignment horizontal="right" vertical="center" wrapText="1" readingOrder="1"/>
      <protection locked="0"/>
    </xf>
    <xf numFmtId="168" fontId="13" fillId="7" borderId="22" xfId="3" applyNumberFormat="1" applyFont="1" applyFill="1" applyBorder="1" applyAlignment="1" applyProtection="1">
      <alignment vertical="center" wrapText="1" readingOrder="1"/>
      <protection locked="0"/>
    </xf>
    <xf numFmtId="168" fontId="15" fillId="8" borderId="22" xfId="3" applyNumberFormat="1" applyFont="1" applyFill="1" applyBorder="1" applyAlignment="1" applyProtection="1">
      <alignment horizontal="right" vertical="center" wrapText="1" readingOrder="1"/>
      <protection locked="0"/>
    </xf>
    <xf numFmtId="168" fontId="13" fillId="8" borderId="22" xfId="3" applyNumberFormat="1" applyFont="1" applyFill="1" applyBorder="1" applyAlignment="1" applyProtection="1">
      <alignment horizontal="right" vertical="center" wrapText="1" readingOrder="1"/>
      <protection locked="0"/>
    </xf>
    <xf numFmtId="168" fontId="14" fillId="8" borderId="22" xfId="3" applyNumberFormat="1" applyFont="1" applyFill="1" applyBorder="1" applyAlignment="1" applyProtection="1">
      <alignment horizontal="right" vertical="center" wrapText="1" readingOrder="1"/>
      <protection locked="0"/>
    </xf>
    <xf numFmtId="168" fontId="16" fillId="0" borderId="22" xfId="3" applyNumberFormat="1" applyFont="1" applyBorder="1" applyAlignment="1" applyProtection="1">
      <alignment horizontal="right" vertical="center" wrapText="1" readingOrder="1"/>
      <protection locked="0"/>
    </xf>
    <xf numFmtId="0" fontId="6" fillId="8" borderId="0" xfId="3" applyFill="1"/>
    <xf numFmtId="4" fontId="6" fillId="0" borderId="0" xfId="3" applyNumberFormat="1"/>
    <xf numFmtId="168" fontId="17" fillId="0" borderId="22" xfId="3" applyNumberFormat="1" applyFont="1" applyBorder="1" applyAlignment="1" applyProtection="1">
      <alignment horizontal="right" vertical="center" wrapText="1" readingOrder="1"/>
      <protection locked="0"/>
    </xf>
    <xf numFmtId="168" fontId="22" fillId="4" borderId="44" xfId="3" applyNumberFormat="1" applyFont="1" applyFill="1" applyBorder="1" applyAlignment="1" applyProtection="1">
      <alignment horizontal="right" vertical="top" wrapText="1" readingOrder="1"/>
      <protection locked="0"/>
    </xf>
    <xf numFmtId="168" fontId="22" fillId="9" borderId="44" xfId="3" applyNumberFormat="1" applyFont="1" applyFill="1" applyBorder="1" applyAlignment="1" applyProtection="1">
      <alignment horizontal="right" vertical="top" wrapText="1" readingOrder="1"/>
      <protection locked="0"/>
    </xf>
    <xf numFmtId="0" fontId="6" fillId="0" borderId="46" xfId="3" applyBorder="1"/>
    <xf numFmtId="0" fontId="6" fillId="0" borderId="1" xfId="3" applyBorder="1"/>
    <xf numFmtId="0" fontId="6" fillId="0" borderId="2" xfId="3" applyBorder="1"/>
    <xf numFmtId="0" fontId="6" fillId="0" borderId="47" xfId="3" applyBorder="1"/>
    <xf numFmtId="169" fontId="6" fillId="0" borderId="0" xfId="3" applyNumberFormat="1"/>
    <xf numFmtId="0" fontId="6" fillId="0" borderId="48" xfId="3" applyBorder="1"/>
    <xf numFmtId="169" fontId="6" fillId="0" borderId="0" xfId="7" applyNumberFormat="1" applyFont="1" applyBorder="1"/>
    <xf numFmtId="169" fontId="6" fillId="8" borderId="49" xfId="7" applyNumberFormat="1" applyFont="1" applyFill="1" applyBorder="1"/>
    <xf numFmtId="169" fontId="6" fillId="8" borderId="50" xfId="3" applyNumberFormat="1" applyFill="1" applyBorder="1"/>
    <xf numFmtId="0" fontId="6" fillId="8" borderId="48" xfId="3" applyFill="1" applyBorder="1"/>
    <xf numFmtId="169" fontId="6" fillId="8" borderId="0" xfId="7" applyNumberFormat="1" applyFont="1" applyFill="1" applyBorder="1"/>
    <xf numFmtId="43" fontId="6" fillId="0" borderId="0" xfId="8" applyFont="1"/>
    <xf numFmtId="43" fontId="6" fillId="0" borderId="0" xfId="6" applyFont="1"/>
    <xf numFmtId="169" fontId="6" fillId="8" borderId="48" xfId="3" applyNumberFormat="1" applyFill="1" applyBorder="1"/>
    <xf numFmtId="169" fontId="6" fillId="8" borderId="48" xfId="7" applyNumberFormat="1" applyFont="1" applyFill="1" applyBorder="1"/>
    <xf numFmtId="169" fontId="6" fillId="8" borderId="50" xfId="7" applyNumberFormat="1" applyFont="1" applyFill="1" applyBorder="1"/>
    <xf numFmtId="0" fontId="25" fillId="0" borderId="51" xfId="3" applyFont="1" applyBorder="1" applyAlignment="1">
      <alignment horizontal="center"/>
    </xf>
    <xf numFmtId="169" fontId="25" fillId="8" borderId="48" xfId="3" applyNumberFormat="1" applyFont="1" applyFill="1" applyBorder="1"/>
    <xf numFmtId="0" fontId="25" fillId="0" borderId="47" xfId="3" applyFont="1" applyBorder="1" applyAlignment="1">
      <alignment horizontal="center"/>
    </xf>
    <xf numFmtId="0" fontId="6" fillId="0" borderId="52" xfId="3" applyBorder="1"/>
    <xf numFmtId="0" fontId="6" fillId="0" borderId="15" xfId="3" applyBorder="1"/>
    <xf numFmtId="0" fontId="6" fillId="8" borderId="15" xfId="3" applyFill="1" applyBorder="1"/>
    <xf numFmtId="0" fontId="6" fillId="8" borderId="16" xfId="3" applyFill="1" applyBorder="1"/>
    <xf numFmtId="0" fontId="25" fillId="0" borderId="47" xfId="3" applyFont="1" applyBorder="1"/>
    <xf numFmtId="169" fontId="6" fillId="0" borderId="48" xfId="7" applyNumberFormat="1" applyFont="1" applyFill="1" applyBorder="1"/>
    <xf numFmtId="14" fontId="6" fillId="0" borderId="0" xfId="3" applyNumberFormat="1"/>
    <xf numFmtId="171" fontId="0" fillId="0" borderId="0" xfId="7" applyNumberFormat="1" applyFont="1"/>
    <xf numFmtId="171" fontId="6" fillId="0" borderId="0" xfId="3" applyNumberFormat="1"/>
    <xf numFmtId="172" fontId="6" fillId="0" borderId="0" xfId="3" applyNumberFormat="1"/>
    <xf numFmtId="0" fontId="6" fillId="12" borderId="0" xfId="3" applyFill="1"/>
    <xf numFmtId="169" fontId="25" fillId="0" borderId="48" xfId="3" applyNumberFormat="1" applyFont="1" applyBorder="1"/>
    <xf numFmtId="0" fontId="6" fillId="0" borderId="16" xfId="3" applyBorder="1"/>
    <xf numFmtId="164" fontId="31" fillId="0" borderId="14" xfId="0" applyNumberFormat="1" applyFont="1" applyBorder="1" applyAlignment="1">
      <alignment horizontal="right" vertical="center"/>
    </xf>
    <xf numFmtId="164" fontId="31" fillId="0" borderId="6" xfId="0" applyNumberFormat="1" applyFont="1" applyBorder="1" applyAlignment="1">
      <alignment horizontal="right" vertical="center"/>
    </xf>
    <xf numFmtId="169" fontId="6" fillId="0" borderId="0" xfId="7" applyNumberFormat="1" applyFont="1" applyFill="1" applyBorder="1"/>
    <xf numFmtId="170" fontId="6" fillId="0" borderId="48" xfId="0" applyNumberFormat="1" applyFont="1" applyBorder="1"/>
    <xf numFmtId="169" fontId="6" fillId="0" borderId="48" xfId="7" applyNumberFormat="1" applyFill="1" applyBorder="1"/>
    <xf numFmtId="0" fontId="6" fillId="0" borderId="53" xfId="3" applyBorder="1"/>
    <xf numFmtId="173" fontId="0" fillId="0" borderId="0" xfId="5" applyNumberFormat="1" applyFont="1" applyFill="1" applyBorder="1"/>
    <xf numFmtId="173" fontId="0" fillId="0" borderId="0" xfId="6" applyNumberFormat="1" applyFont="1" applyFill="1" applyBorder="1"/>
    <xf numFmtId="174" fontId="0" fillId="0" borderId="0" xfId="6" applyNumberFormat="1" applyFont="1" applyFill="1" applyBorder="1"/>
    <xf numFmtId="0" fontId="6" fillId="0" borderId="0" xfId="3" applyAlignment="1">
      <alignment horizontal="center"/>
    </xf>
    <xf numFmtId="164" fontId="32" fillId="0" borderId="14" xfId="0" applyNumberFormat="1" applyFont="1" applyBorder="1" applyAlignment="1">
      <alignment horizontal="right" vertical="center"/>
    </xf>
    <xf numFmtId="0" fontId="32" fillId="0" borderId="7" xfId="0" applyFont="1" applyBorder="1" applyAlignment="1">
      <alignment vertical="center"/>
    </xf>
    <xf numFmtId="0" fontId="31" fillId="0" borderId="0" xfId="0" applyFont="1" applyAlignment="1">
      <alignment vertical="center"/>
    </xf>
    <xf numFmtId="164" fontId="4" fillId="0" borderId="6" xfId="0" applyNumberFormat="1" applyFont="1" applyBorder="1" applyAlignment="1">
      <alignment horizontal="right" vertical="center"/>
    </xf>
    <xf numFmtId="0" fontId="32" fillId="0" borderId="7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/>
    </xf>
    <xf numFmtId="43" fontId="3" fillId="0" borderId="0" xfId="6" applyFont="1" applyAlignment="1">
      <alignment vertical="center"/>
    </xf>
    <xf numFmtId="170" fontId="6" fillId="0" borderId="0" xfId="3" applyNumberFormat="1"/>
    <xf numFmtId="173" fontId="28" fillId="0" borderId="0" xfId="5" applyNumberFormat="1" applyFont="1" applyFill="1" applyBorder="1"/>
    <xf numFmtId="169" fontId="6" fillId="0" borderId="48" xfId="3" applyNumberFormat="1" applyBorder="1"/>
    <xf numFmtId="9" fontId="6" fillId="0" borderId="0" xfId="9" applyFont="1"/>
    <xf numFmtId="0" fontId="25" fillId="0" borderId="0" xfId="3" applyFont="1" applyAlignment="1">
      <alignment horizontal="center"/>
    </xf>
    <xf numFmtId="0" fontId="6" fillId="0" borderId="47" xfId="3" applyBorder="1" applyAlignment="1">
      <alignment horizontal="center"/>
    </xf>
    <xf numFmtId="0" fontId="6" fillId="0" borderId="0" xfId="3" applyAlignment="1">
      <alignment horizontal="center"/>
    </xf>
    <xf numFmtId="0" fontId="23" fillId="4" borderId="44" xfId="3" applyFont="1" applyFill="1" applyBorder="1" applyAlignment="1" applyProtection="1">
      <alignment horizontal="right" vertical="top" wrapText="1" readingOrder="1"/>
      <protection locked="0"/>
    </xf>
    <xf numFmtId="0" fontId="6" fillId="0" borderId="45" xfId="3" applyBorder="1" applyAlignment="1" applyProtection="1">
      <alignment vertical="top" wrapText="1"/>
      <protection locked="0"/>
    </xf>
    <xf numFmtId="168" fontId="22" fillId="4" borderId="44" xfId="3" applyNumberFormat="1" applyFont="1" applyFill="1" applyBorder="1" applyAlignment="1" applyProtection="1">
      <alignment horizontal="right" vertical="top" wrapText="1" readingOrder="1"/>
      <protection locked="0"/>
    </xf>
    <xf numFmtId="0" fontId="23" fillId="9" borderId="44" xfId="3" applyFont="1" applyFill="1" applyBorder="1" applyAlignment="1" applyProtection="1">
      <alignment horizontal="right" vertical="top" wrapText="1" readingOrder="1"/>
      <protection locked="0"/>
    </xf>
    <xf numFmtId="168" fontId="22" fillId="9" borderId="44" xfId="3" applyNumberFormat="1" applyFont="1" applyFill="1" applyBorder="1" applyAlignment="1" applyProtection="1">
      <alignment horizontal="right" vertical="top" wrapText="1" readingOrder="1"/>
      <protection locked="0"/>
    </xf>
    <xf numFmtId="0" fontId="6" fillId="0" borderId="25" xfId="3" applyBorder="1" applyAlignment="1" applyProtection="1">
      <alignment horizontal="center" vertical="top" wrapText="1" readingOrder="1"/>
      <protection locked="0"/>
    </xf>
    <xf numFmtId="0" fontId="6" fillId="0" borderId="26" xfId="3" applyBorder="1" applyAlignment="1" applyProtection="1">
      <alignment vertical="top" wrapText="1"/>
      <protection locked="0"/>
    </xf>
    <xf numFmtId="0" fontId="24" fillId="9" borderId="27" xfId="3" applyFont="1" applyFill="1" applyBorder="1" applyAlignment="1" applyProtection="1">
      <alignment horizontal="center" vertical="top" wrapText="1" readingOrder="1"/>
      <protection locked="0"/>
    </xf>
    <xf numFmtId="0" fontId="6" fillId="0" borderId="28" xfId="3" applyBorder="1" applyAlignment="1" applyProtection="1">
      <alignment vertical="top" wrapText="1"/>
      <protection locked="0"/>
    </xf>
    <xf numFmtId="0" fontId="6" fillId="0" borderId="29" xfId="3" applyBorder="1" applyAlignment="1" applyProtection="1">
      <alignment vertical="top" wrapText="1"/>
      <protection locked="0"/>
    </xf>
    <xf numFmtId="0" fontId="25" fillId="0" borderId="41" xfId="3" applyFont="1" applyBorder="1" applyAlignment="1" applyProtection="1">
      <alignment horizontal="center" vertical="top" wrapText="1" readingOrder="1"/>
      <protection locked="0"/>
    </xf>
    <xf numFmtId="0" fontId="6" fillId="0" borderId="42" xfId="3" applyBorder="1" applyAlignment="1" applyProtection="1">
      <alignment vertical="top" wrapText="1"/>
      <protection locked="0"/>
    </xf>
    <xf numFmtId="0" fontId="26" fillId="6" borderId="32" xfId="3" applyFont="1" applyFill="1" applyBorder="1" applyAlignment="1" applyProtection="1">
      <alignment horizontal="center" vertical="top" wrapText="1" readingOrder="1"/>
      <protection locked="0"/>
    </xf>
    <xf numFmtId="0" fontId="6" fillId="0" borderId="33" xfId="3" applyBorder="1" applyAlignment="1" applyProtection="1">
      <alignment vertical="top" wrapText="1"/>
      <protection locked="0"/>
    </xf>
    <xf numFmtId="0" fontId="26" fillId="11" borderId="32" xfId="3" applyFont="1" applyFill="1" applyBorder="1" applyAlignment="1" applyProtection="1">
      <alignment horizontal="center" vertical="top" wrapText="1" readingOrder="1"/>
      <protection locked="0"/>
    </xf>
    <xf numFmtId="0" fontId="6" fillId="12" borderId="33" xfId="3" applyFill="1" applyBorder="1" applyAlignment="1" applyProtection="1">
      <alignment vertical="top" wrapText="1"/>
      <protection locked="0"/>
    </xf>
    <xf numFmtId="0" fontId="6" fillId="12" borderId="43" xfId="3" applyFill="1" applyBorder="1" applyAlignment="1" applyProtection="1">
      <alignment vertical="top" wrapText="1"/>
      <protection locked="0"/>
    </xf>
    <xf numFmtId="0" fontId="23" fillId="7" borderId="39" xfId="3" applyFont="1" applyFill="1" applyBorder="1" applyAlignment="1" applyProtection="1">
      <alignment vertical="top" wrapText="1" readingOrder="1"/>
      <protection locked="0"/>
    </xf>
    <xf numFmtId="0" fontId="6" fillId="0" borderId="40" xfId="3" applyBorder="1" applyAlignment="1" applyProtection="1">
      <alignment vertical="top" wrapText="1"/>
      <protection locked="0"/>
    </xf>
    <xf numFmtId="0" fontId="27" fillId="7" borderId="39" xfId="3" applyFont="1" applyFill="1" applyBorder="1" applyAlignment="1" applyProtection="1">
      <alignment horizontal="right" vertical="top" wrapText="1" readingOrder="1"/>
      <protection locked="0"/>
    </xf>
    <xf numFmtId="168" fontId="23" fillId="7" borderId="39" xfId="3" applyNumberFormat="1" applyFont="1" applyFill="1" applyBorder="1" applyAlignment="1" applyProtection="1">
      <alignment horizontal="right" vertical="top" wrapText="1" readingOrder="1"/>
      <protection locked="0"/>
    </xf>
    <xf numFmtId="0" fontId="23" fillId="4" borderId="34" xfId="3" applyFont="1" applyFill="1" applyBorder="1" applyAlignment="1" applyProtection="1">
      <alignment vertical="top" wrapText="1" readingOrder="1"/>
      <protection locked="0"/>
    </xf>
    <xf numFmtId="0" fontId="6" fillId="0" borderId="35" xfId="3" applyBorder="1" applyAlignment="1" applyProtection="1">
      <alignment vertical="top" wrapText="1"/>
      <protection locked="0"/>
    </xf>
    <xf numFmtId="168" fontId="23" fillId="4" borderId="27" xfId="3" applyNumberFormat="1" applyFont="1" applyFill="1" applyBorder="1" applyAlignment="1" applyProtection="1">
      <alignment horizontal="right" vertical="top" wrapText="1" readingOrder="1"/>
      <protection locked="0"/>
    </xf>
    <xf numFmtId="0" fontId="23" fillId="9" borderId="39" xfId="3" applyFont="1" applyFill="1" applyBorder="1" applyAlignment="1" applyProtection="1">
      <alignment vertical="top" wrapText="1" readingOrder="1"/>
      <protection locked="0"/>
    </xf>
    <xf numFmtId="168" fontId="23" fillId="9" borderId="27" xfId="3" applyNumberFormat="1" applyFont="1" applyFill="1" applyBorder="1" applyAlignment="1" applyProtection="1">
      <alignment horizontal="right" vertical="top" wrapText="1" readingOrder="1"/>
      <protection locked="0"/>
    </xf>
    <xf numFmtId="0" fontId="21" fillId="0" borderId="34" xfId="3" applyFont="1" applyBorder="1" applyAlignment="1" applyProtection="1">
      <alignment vertical="top" wrapText="1" readingOrder="1"/>
      <protection locked="0"/>
    </xf>
    <xf numFmtId="168" fontId="22" fillId="0" borderId="36" xfId="3" applyNumberFormat="1" applyFont="1" applyBorder="1" applyAlignment="1" applyProtection="1">
      <alignment horizontal="right" vertical="top" wrapText="1" readingOrder="1"/>
      <protection locked="0"/>
    </xf>
    <xf numFmtId="0" fontId="6" fillId="0" borderId="37" xfId="3" applyBorder="1" applyAlignment="1" applyProtection="1">
      <alignment vertical="top" wrapText="1"/>
      <protection locked="0"/>
    </xf>
    <xf numFmtId="168" fontId="22" fillId="8" borderId="36" xfId="3" applyNumberFormat="1" applyFont="1" applyFill="1" applyBorder="1" applyAlignment="1" applyProtection="1">
      <alignment horizontal="right" vertical="top" wrapText="1" readingOrder="1"/>
      <protection locked="0"/>
    </xf>
    <xf numFmtId="0" fontId="6" fillId="8" borderId="37" xfId="3" applyFill="1" applyBorder="1" applyAlignment="1" applyProtection="1">
      <alignment vertical="top" wrapText="1"/>
      <protection locked="0"/>
    </xf>
    <xf numFmtId="0" fontId="24" fillId="10" borderId="27" xfId="3" applyFont="1" applyFill="1" applyBorder="1" applyAlignment="1" applyProtection="1">
      <alignment horizontal="center" vertical="top" wrapText="1" readingOrder="1"/>
      <protection locked="0"/>
    </xf>
    <xf numFmtId="0" fontId="6" fillId="8" borderId="28" xfId="3" applyFill="1" applyBorder="1" applyAlignment="1" applyProtection="1">
      <alignment vertical="top" wrapText="1"/>
      <protection locked="0"/>
    </xf>
    <xf numFmtId="0" fontId="6" fillId="8" borderId="29" xfId="3" applyFill="1" applyBorder="1" applyAlignment="1" applyProtection="1">
      <alignment vertical="top" wrapText="1"/>
      <protection locked="0"/>
    </xf>
    <xf numFmtId="0" fontId="25" fillId="0" borderId="25" xfId="3" applyFont="1" applyBorder="1" applyAlignment="1" applyProtection="1">
      <alignment horizontal="center" vertical="center" wrapText="1" readingOrder="1"/>
      <protection locked="0"/>
    </xf>
    <xf numFmtId="0" fontId="6" fillId="0" borderId="30" xfId="3" applyBorder="1" applyAlignment="1" applyProtection="1">
      <alignment vertical="top" wrapText="1"/>
      <protection locked="0"/>
    </xf>
    <xf numFmtId="0" fontId="6" fillId="0" borderId="31" xfId="3" applyBorder="1" applyAlignment="1" applyProtection="1">
      <alignment vertical="top" wrapText="1"/>
      <protection locked="0"/>
    </xf>
    <xf numFmtId="4" fontId="23" fillId="7" borderId="39" xfId="3" applyNumberFormat="1" applyFont="1" applyFill="1" applyBorder="1" applyAlignment="1" applyProtection="1">
      <alignment horizontal="right" vertical="top" wrapText="1" readingOrder="1"/>
      <protection locked="0"/>
    </xf>
    <xf numFmtId="0" fontId="21" fillId="0" borderId="34" xfId="3" applyFont="1" applyBorder="1" applyAlignment="1" applyProtection="1">
      <alignment horizontal="left" vertical="top" wrapText="1" readingOrder="1"/>
      <protection locked="0"/>
    </xf>
    <xf numFmtId="0" fontId="6" fillId="0" borderId="35" xfId="3" applyBorder="1" applyAlignment="1" applyProtection="1">
      <alignment horizontal="left" vertical="top" wrapText="1" readingOrder="1"/>
      <protection locked="0"/>
    </xf>
    <xf numFmtId="168" fontId="22" fillId="8" borderId="38" xfId="3" applyNumberFormat="1" applyFont="1" applyFill="1" applyBorder="1" applyAlignment="1" applyProtection="1">
      <alignment horizontal="right" vertical="top" wrapText="1" readingOrder="1"/>
      <protection locked="0"/>
    </xf>
    <xf numFmtId="168" fontId="22" fillId="8" borderId="37" xfId="3" applyNumberFormat="1" applyFont="1" applyFill="1" applyBorder="1" applyAlignment="1" applyProtection="1">
      <alignment horizontal="right" vertical="top" wrapText="1" readingOrder="1"/>
      <protection locked="0"/>
    </xf>
    <xf numFmtId="0" fontId="18" fillId="0" borderId="0" xfId="3" applyFont="1" applyAlignment="1" applyProtection="1">
      <alignment horizontal="center" vertical="top" wrapText="1" readingOrder="1"/>
      <protection locked="0"/>
    </xf>
    <xf numFmtId="0" fontId="6" fillId="0" borderId="0" xfId="3"/>
    <xf numFmtId="0" fontId="8" fillId="0" borderId="0" xfId="3" applyFont="1" applyAlignment="1" applyProtection="1">
      <alignment horizontal="center" vertical="top" wrapText="1" readingOrder="1"/>
      <protection locked="0"/>
    </xf>
    <xf numFmtId="0" fontId="18" fillId="0" borderId="25" xfId="3" applyFont="1" applyBorder="1" applyAlignment="1" applyProtection="1">
      <alignment horizontal="center" vertical="center" wrapText="1" readingOrder="1"/>
      <protection locked="0"/>
    </xf>
    <xf numFmtId="0" fontId="19" fillId="9" borderId="27" xfId="3" applyFont="1" applyFill="1" applyBorder="1" applyAlignment="1" applyProtection="1">
      <alignment horizontal="center" vertical="top" wrapText="1" readingOrder="1"/>
      <protection locked="0"/>
    </xf>
    <xf numFmtId="0" fontId="20" fillId="6" borderId="32" xfId="3" applyFont="1" applyFill="1" applyBorder="1" applyAlignment="1" applyProtection="1">
      <alignment horizontal="center" vertical="top" wrapText="1" readingOrder="1"/>
      <protection locked="0"/>
    </xf>
    <xf numFmtId="0" fontId="16" fillId="0" borderId="22" xfId="3" applyFont="1" applyBorder="1" applyAlignment="1" applyProtection="1">
      <alignment horizontal="right" vertical="center" wrapText="1" readingOrder="1"/>
      <protection locked="0"/>
    </xf>
    <xf numFmtId="0" fontId="6" fillId="0" borderId="23" xfId="3" applyBorder="1" applyAlignment="1" applyProtection="1">
      <alignment vertical="top" wrapText="1"/>
      <protection locked="0"/>
    </xf>
    <xf numFmtId="0" fontId="13" fillId="0" borderId="22" xfId="3" applyFont="1" applyBorder="1" applyAlignment="1" applyProtection="1">
      <alignment horizontal="right" vertical="center" wrapText="1" readingOrder="1"/>
      <protection locked="0"/>
    </xf>
    <xf numFmtId="0" fontId="7" fillId="0" borderId="0" xfId="3" applyFont="1" applyAlignment="1" applyProtection="1">
      <alignment horizontal="center" vertical="top" wrapText="1" readingOrder="1"/>
      <protection locked="0"/>
    </xf>
    <xf numFmtId="0" fontId="9" fillId="0" borderId="0" xfId="3" applyFont="1" applyAlignment="1" applyProtection="1">
      <alignment vertical="center" wrapText="1" readingOrder="1"/>
      <protection locked="0"/>
    </xf>
    <xf numFmtId="0" fontId="10" fillId="3" borderId="22" xfId="3" applyFont="1" applyFill="1" applyBorder="1" applyAlignment="1" applyProtection="1">
      <alignment vertical="center" wrapText="1" readingOrder="1"/>
      <protection locked="0"/>
    </xf>
    <xf numFmtId="0" fontId="10" fillId="3" borderId="22" xfId="3" applyFont="1" applyFill="1" applyBorder="1" applyAlignment="1" applyProtection="1">
      <alignment horizontal="center" vertical="center" wrapText="1" readingOrder="1"/>
      <protection locked="0"/>
    </xf>
    <xf numFmtId="0" fontId="6" fillId="0" borderId="24" xfId="3" applyBorder="1" applyAlignment="1" applyProtection="1">
      <alignment vertical="top" wrapText="1"/>
      <protection locked="0"/>
    </xf>
    <xf numFmtId="0" fontId="11" fillId="5" borderId="22" xfId="3" applyFont="1" applyFill="1" applyBorder="1" applyAlignment="1" applyProtection="1">
      <alignment vertical="center" wrapText="1" readingOrder="1"/>
      <protection locked="0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2" borderId="1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2" fillId="0" borderId="7" xfId="0" applyFont="1" applyBorder="1" applyAlignment="1">
      <alignment vertical="center" wrapText="1"/>
    </xf>
    <xf numFmtId="0" fontId="31" fillId="0" borderId="7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3" fillId="0" borderId="17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/>
    </xf>
    <xf numFmtId="164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164" fontId="3" fillId="0" borderId="54" xfId="0" applyNumberFormat="1" applyFont="1" applyBorder="1" applyAlignment="1">
      <alignment horizontal="right" vertical="center"/>
    </xf>
    <xf numFmtId="164" fontId="3" fillId="0" borderId="55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7" xfId="0" applyFont="1" applyBorder="1" applyAlignment="1">
      <alignment vertical="center" wrapText="1"/>
    </xf>
    <xf numFmtId="0" fontId="3" fillId="0" borderId="14" xfId="0" applyFont="1" applyBorder="1" applyAlignment="1">
      <alignment horizontal="right" vertical="center"/>
    </xf>
    <xf numFmtId="164" fontId="4" fillId="0" borderId="20" xfId="0" applyNumberFormat="1" applyFont="1" applyBorder="1" applyAlignment="1">
      <alignment horizontal="right" vertical="center"/>
    </xf>
  </cellXfs>
  <cellStyles count="10">
    <cellStyle name="Euro" xfId="4" xr:uid="{ABCD7EB5-4A93-43EB-9280-DA9C7581760D}"/>
    <cellStyle name="Euro 2" xfId="7" xr:uid="{CBEAF000-7E2E-4133-A26B-10C382300857}"/>
    <cellStyle name="Migliaia" xfId="6" builtinId="3"/>
    <cellStyle name="Migliaia 2" xfId="1" xr:uid="{782E564A-BBDF-4AA6-8DAC-D13BE25155C1}"/>
    <cellStyle name="Migliaia 2 2" xfId="8" xr:uid="{1CCD61A1-99E5-4AB4-9064-0BC48B4D5292}"/>
    <cellStyle name="Normale" xfId="0" builtinId="0"/>
    <cellStyle name="Normale 2" xfId="3" xr:uid="{568EEE63-A832-4A91-A36A-5680F89EDA9E}"/>
    <cellStyle name="Percentuale" xfId="9" builtinId="5"/>
    <cellStyle name="Valuta 2" xfId="5" xr:uid="{5187F045-BB94-42F5-A114-9C2B950AB083}"/>
    <cellStyle name="Valuta 3" xfId="2" xr:uid="{8EAC670E-11BF-43DA-BCE4-3F70E525E6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B3B6-1695-4B6B-98A4-E5A0EFFD327C}">
  <sheetPr>
    <pageSetUpPr fitToPage="1"/>
  </sheetPr>
  <dimension ref="A1:AB53"/>
  <sheetViews>
    <sheetView topLeftCell="A26" zoomScale="130" zoomScaleNormal="130" workbookViewId="0">
      <selection activeCell="G44" sqref="G44"/>
    </sheetView>
  </sheetViews>
  <sheetFormatPr defaultColWidth="9.140625" defaultRowHeight="12.75" x14ac:dyDescent="0.2"/>
  <cols>
    <col min="1" max="1" width="10.7109375" style="21" customWidth="1"/>
    <col min="2" max="5" width="9.140625" style="21"/>
    <col min="6" max="6" width="17.42578125" style="21" customWidth="1"/>
    <col min="7" max="7" width="17" style="21" customWidth="1"/>
    <col min="8" max="8" width="2.85546875" style="21" customWidth="1"/>
    <col min="9" max="9" width="16.140625" style="21" customWidth="1"/>
    <col min="10" max="10" width="12.85546875" style="21" hidden="1" customWidth="1"/>
    <col min="11" max="12" width="14.5703125" style="21" hidden="1" customWidth="1"/>
    <col min="13" max="13" width="15.5703125" style="21" hidden="1" customWidth="1"/>
    <col min="14" max="14" width="12.85546875" style="21" hidden="1" customWidth="1"/>
    <col min="15" max="18" width="0" style="21" hidden="1" customWidth="1"/>
    <col min="19" max="19" width="15" style="21" hidden="1" customWidth="1"/>
    <col min="20" max="25" width="0" style="21" hidden="1" customWidth="1"/>
    <col min="26" max="26" width="15" style="21" hidden="1" customWidth="1"/>
    <col min="27" max="27" width="0" style="21" hidden="1" customWidth="1"/>
    <col min="28" max="28" width="10.7109375" style="21" bestFit="1" customWidth="1"/>
    <col min="29" max="16384" width="9.140625" style="21"/>
  </cols>
  <sheetData>
    <row r="1" spans="1:26" x14ac:dyDescent="0.2">
      <c r="A1" s="21" t="s">
        <v>578</v>
      </c>
    </row>
    <row r="3" spans="1:26" ht="20.25" customHeight="1" x14ac:dyDescent="0.2">
      <c r="A3" s="94" t="s">
        <v>618</v>
      </c>
      <c r="B3" s="94"/>
      <c r="C3" s="94"/>
      <c r="D3" s="94"/>
      <c r="E3" s="94"/>
      <c r="F3" s="94"/>
      <c r="G3" s="94"/>
      <c r="H3" s="94"/>
      <c r="I3" s="94"/>
    </row>
    <row r="4" spans="1:26" ht="7.5" customHeight="1" x14ac:dyDescent="0.2"/>
    <row r="5" spans="1:26" ht="9" customHeight="1" x14ac:dyDescent="0.2">
      <c r="A5" s="41"/>
      <c r="B5" s="42"/>
      <c r="C5" s="42"/>
      <c r="D5" s="42"/>
      <c r="E5" s="42"/>
      <c r="F5" s="42"/>
      <c r="G5" s="42"/>
      <c r="H5" s="42"/>
      <c r="I5" s="43"/>
    </row>
    <row r="6" spans="1:26" ht="15" customHeight="1" x14ac:dyDescent="0.2">
      <c r="A6" s="44" t="s">
        <v>579</v>
      </c>
      <c r="I6" s="65">
        <v>256891192</v>
      </c>
      <c r="S6" s="45"/>
    </row>
    <row r="7" spans="1:26" ht="6.75" customHeight="1" x14ac:dyDescent="0.2">
      <c r="A7" s="44"/>
      <c r="I7" s="46"/>
    </row>
    <row r="8" spans="1:26" ht="15" customHeight="1" x14ac:dyDescent="0.2">
      <c r="A8" s="44"/>
      <c r="I8" s="46"/>
    </row>
    <row r="9" spans="1:26" ht="15" customHeight="1" x14ac:dyDescent="0.2">
      <c r="A9" s="44" t="s">
        <v>13</v>
      </c>
      <c r="C9" s="21" t="s">
        <v>580</v>
      </c>
      <c r="G9" s="47">
        <f>'Stampa rendiconto PI - ENTR'!$I$105</f>
        <v>35817725</v>
      </c>
      <c r="I9" s="46"/>
    </row>
    <row r="10" spans="1:26" ht="16.5" customHeight="1" thickBot="1" x14ac:dyDescent="0.25">
      <c r="A10" s="44" t="s">
        <v>581</v>
      </c>
      <c r="C10" s="21" t="s">
        <v>582</v>
      </c>
      <c r="G10" s="48">
        <f>'Stampa rendiconto PII - ENTRATE'!F105</f>
        <v>5708458</v>
      </c>
      <c r="H10" s="36"/>
      <c r="I10" s="49">
        <f>G9+G10</f>
        <v>41526183</v>
      </c>
    </row>
    <row r="11" spans="1:26" ht="15" customHeight="1" x14ac:dyDescent="0.2">
      <c r="A11" s="44"/>
      <c r="G11" s="36"/>
      <c r="H11" s="36"/>
      <c r="I11" s="50"/>
    </row>
    <row r="12" spans="1:26" ht="20.25" customHeight="1" x14ac:dyDescent="0.2">
      <c r="A12" s="44" t="s">
        <v>199</v>
      </c>
      <c r="C12" s="21" t="s">
        <v>580</v>
      </c>
      <c r="G12" s="51">
        <f>'Stampa rendiconto PI - USC '!$I$143</f>
        <v>32202356</v>
      </c>
      <c r="H12" s="36"/>
      <c r="I12" s="50"/>
    </row>
    <row r="13" spans="1:26" ht="20.25" customHeight="1" thickBot="1" x14ac:dyDescent="0.25">
      <c r="A13" s="44"/>
      <c r="C13" s="21" t="s">
        <v>582</v>
      </c>
      <c r="G13" s="48">
        <f>'Stampa rendiconto PII - USCITE'!F143</f>
        <v>17264535</v>
      </c>
      <c r="H13" s="36"/>
      <c r="I13" s="49">
        <f>G12+G13</f>
        <v>49466891</v>
      </c>
    </row>
    <row r="14" spans="1:26" ht="15" customHeight="1" x14ac:dyDescent="0.2">
      <c r="A14" s="44"/>
      <c r="G14" s="36"/>
      <c r="H14" s="36"/>
      <c r="I14" s="50"/>
      <c r="S14" s="45"/>
    </row>
    <row r="15" spans="1:26" ht="15" customHeight="1" thickBot="1" x14ac:dyDescent="0.25">
      <c r="A15" s="44" t="s">
        <v>583</v>
      </c>
      <c r="G15" s="36"/>
      <c r="H15" s="36"/>
      <c r="I15" s="49">
        <f>I6+I10-I13</f>
        <v>248950484</v>
      </c>
      <c r="K15" s="45"/>
      <c r="S15" s="52"/>
      <c r="Z15" s="53">
        <f>217053660-1301860-15146</f>
        <v>215736654</v>
      </c>
    </row>
    <row r="16" spans="1:26" ht="15" customHeight="1" x14ac:dyDescent="0.2">
      <c r="A16" s="44"/>
      <c r="G16" s="36"/>
      <c r="H16" s="36"/>
      <c r="I16" s="50"/>
    </row>
    <row r="17" spans="1:26" ht="15" customHeight="1" x14ac:dyDescent="0.2">
      <c r="A17" s="44"/>
      <c r="G17" s="36"/>
      <c r="H17" s="36"/>
      <c r="I17" s="54"/>
    </row>
    <row r="18" spans="1:26" ht="15.75" customHeight="1" x14ac:dyDescent="0.2">
      <c r="A18" s="44" t="s">
        <v>584</v>
      </c>
      <c r="C18" s="21" t="s">
        <v>585</v>
      </c>
      <c r="G18" s="51">
        <f>'Stampa rendiconto PII - ENTRATE'!G105</f>
        <v>14428956</v>
      </c>
      <c r="H18" s="36"/>
      <c r="I18" s="50"/>
    </row>
    <row r="19" spans="1:26" ht="15.75" customHeight="1" thickBot="1" x14ac:dyDescent="0.25">
      <c r="A19" s="44"/>
      <c r="C19" s="21" t="s">
        <v>586</v>
      </c>
      <c r="G19" s="48">
        <f>'Stampa rendiconto PI - ENTR'!$J$105</f>
        <v>36333022</v>
      </c>
      <c r="H19" s="36"/>
      <c r="I19" s="49">
        <f>G18+G19+J19</f>
        <v>50761978</v>
      </c>
      <c r="N19" s="45"/>
      <c r="S19" s="45"/>
    </row>
    <row r="20" spans="1:26" ht="16.5" customHeight="1" x14ac:dyDescent="0.2">
      <c r="A20" s="44"/>
      <c r="G20" s="36"/>
      <c r="H20" s="36"/>
      <c r="I20" s="50"/>
    </row>
    <row r="21" spans="1:26" ht="15.75" customHeight="1" x14ac:dyDescent="0.2">
      <c r="A21" s="44" t="s">
        <v>587</v>
      </c>
      <c r="C21" s="21" t="s">
        <v>585</v>
      </c>
      <c r="G21" s="51">
        <f>'Stampa rendiconto PII - USCITE'!G143</f>
        <v>40201348</v>
      </c>
      <c r="H21" s="51"/>
      <c r="I21" s="55"/>
    </row>
    <row r="22" spans="1:26" ht="15.75" customHeight="1" thickBot="1" x14ac:dyDescent="0.25">
      <c r="A22" s="44"/>
      <c r="C22" s="21" t="s">
        <v>586</v>
      </c>
      <c r="G22" s="48">
        <f>'Stampa rendiconto PI - USC '!$J$143</f>
        <v>77448562</v>
      </c>
      <c r="H22" s="51"/>
      <c r="I22" s="56">
        <f>G21+G22</f>
        <v>117649910</v>
      </c>
    </row>
    <row r="23" spans="1:26" ht="15" customHeight="1" x14ac:dyDescent="0.2">
      <c r="A23" s="44"/>
      <c r="G23" s="36"/>
      <c r="H23" s="36"/>
      <c r="I23" s="50"/>
    </row>
    <row r="24" spans="1:26" ht="15" customHeight="1" thickBot="1" x14ac:dyDescent="0.25">
      <c r="A24" s="57" t="s">
        <v>588</v>
      </c>
      <c r="B24" s="21" t="s">
        <v>589</v>
      </c>
      <c r="G24" s="36"/>
      <c r="H24" s="36"/>
      <c r="I24" s="58">
        <f>I15+I19-I22</f>
        <v>182062552</v>
      </c>
      <c r="J24" s="45"/>
      <c r="Z24" s="45"/>
    </row>
    <row r="25" spans="1:26" ht="19.5" customHeight="1" x14ac:dyDescent="0.2">
      <c r="A25" s="59" t="s">
        <v>590</v>
      </c>
      <c r="G25" s="36"/>
      <c r="H25" s="36"/>
      <c r="I25" s="50"/>
      <c r="Z25" s="45"/>
    </row>
    <row r="26" spans="1:26" ht="15" customHeight="1" x14ac:dyDescent="0.2">
      <c r="A26" s="60"/>
      <c r="B26" s="61"/>
      <c r="C26" s="61"/>
      <c r="D26" s="61"/>
      <c r="E26" s="61"/>
      <c r="F26" s="61"/>
      <c r="G26" s="62"/>
      <c r="H26" s="62"/>
      <c r="I26" s="63"/>
    </row>
    <row r="27" spans="1:26" ht="15" customHeight="1" x14ac:dyDescent="0.2">
      <c r="G27" s="36"/>
      <c r="H27" s="36"/>
      <c r="I27" s="36"/>
    </row>
    <row r="28" spans="1:26" ht="9.75" customHeight="1" x14ac:dyDescent="0.2">
      <c r="A28" s="41"/>
      <c r="B28" s="42"/>
      <c r="C28" s="42"/>
      <c r="D28" s="42"/>
      <c r="E28" s="42"/>
      <c r="F28" s="42"/>
      <c r="G28" s="42"/>
      <c r="H28" s="41"/>
      <c r="I28" s="43"/>
    </row>
    <row r="29" spans="1:26" ht="15" customHeight="1" x14ac:dyDescent="0.2">
      <c r="A29" s="44" t="s">
        <v>616</v>
      </c>
      <c r="H29" s="41"/>
      <c r="I29" s="43"/>
    </row>
    <row r="30" spans="1:26" ht="9" customHeight="1" x14ac:dyDescent="0.2">
      <c r="A30" s="64"/>
      <c r="H30" s="44"/>
      <c r="I30" s="46"/>
    </row>
    <row r="31" spans="1:26" ht="15" customHeight="1" x14ac:dyDescent="0.2">
      <c r="A31" s="64" t="s">
        <v>591</v>
      </c>
      <c r="H31" s="44"/>
      <c r="I31" s="46"/>
    </row>
    <row r="32" spans="1:26" ht="15" customHeight="1" x14ac:dyDescent="0.2">
      <c r="A32" s="44" t="s">
        <v>592</v>
      </c>
      <c r="G32" s="75"/>
      <c r="H32" s="44"/>
      <c r="I32" s="92">
        <v>2525730</v>
      </c>
      <c r="K32" s="65"/>
      <c r="L32" s="45"/>
      <c r="Z32" s="66"/>
    </row>
    <row r="33" spans="1:28" ht="15" customHeight="1" x14ac:dyDescent="0.2">
      <c r="A33" s="44" t="s">
        <v>625</v>
      </c>
      <c r="H33" s="44"/>
      <c r="I33" s="76">
        <v>4717948</v>
      </c>
    </row>
    <row r="34" spans="1:28" ht="15" customHeight="1" x14ac:dyDescent="0.2">
      <c r="A34" s="44"/>
      <c r="B34" s="21" t="s">
        <v>593</v>
      </c>
      <c r="G34" s="60"/>
      <c r="H34" s="44"/>
      <c r="I34" s="46"/>
    </row>
    <row r="35" spans="1:28" ht="15" customHeight="1" x14ac:dyDescent="0.2">
      <c r="A35" s="44" t="s">
        <v>594</v>
      </c>
      <c r="H35" s="44"/>
      <c r="I35" s="65"/>
      <c r="K35" s="21" t="s">
        <v>595</v>
      </c>
    </row>
    <row r="36" spans="1:28" ht="15" customHeight="1" x14ac:dyDescent="0.2">
      <c r="A36" s="44" t="s">
        <v>596</v>
      </c>
      <c r="H36" s="44"/>
      <c r="I36" s="77"/>
      <c r="J36" s="21">
        <v>8422845.3100000005</v>
      </c>
      <c r="N36" s="21" t="s">
        <v>597</v>
      </c>
    </row>
    <row r="37" spans="1:28" ht="15" customHeight="1" x14ac:dyDescent="0.25">
      <c r="A37" s="44"/>
      <c r="B37" s="21" t="s">
        <v>598</v>
      </c>
      <c r="G37" s="78"/>
      <c r="I37" s="46"/>
      <c r="J37" s="21">
        <v>38008587</v>
      </c>
      <c r="K37" s="67">
        <v>4036882.77</v>
      </c>
      <c r="L37" s="68">
        <f>7000000-K37</f>
        <v>2963117.23</v>
      </c>
      <c r="M37" s="69">
        <v>16050297.98</v>
      </c>
      <c r="N37" s="21" t="s">
        <v>599</v>
      </c>
    </row>
    <row r="38" spans="1:28" ht="15" customHeight="1" x14ac:dyDescent="0.25">
      <c r="A38" s="44"/>
      <c r="B38" s="21" t="s">
        <v>600</v>
      </c>
      <c r="G38" s="91">
        <v>12586</v>
      </c>
      <c r="I38" s="46"/>
      <c r="M38" s="69">
        <f>I33-M37</f>
        <v>-11332349.98</v>
      </c>
      <c r="S38" s="21" t="s">
        <v>601</v>
      </c>
      <c r="Y38" s="21" t="s">
        <v>602</v>
      </c>
      <c r="Z38" s="70" t="s">
        <v>603</v>
      </c>
      <c r="AA38" s="70">
        <v>160628</v>
      </c>
      <c r="AB38" s="90"/>
    </row>
    <row r="39" spans="1:28" ht="15" customHeight="1" x14ac:dyDescent="0.25">
      <c r="A39" s="44" t="s">
        <v>626</v>
      </c>
      <c r="G39" s="91">
        <v>34714</v>
      </c>
      <c r="I39" s="46"/>
      <c r="M39" s="69"/>
      <c r="Z39" s="70"/>
      <c r="AA39" s="70"/>
      <c r="AB39" s="90"/>
    </row>
    <row r="40" spans="1:28" ht="15" customHeight="1" x14ac:dyDescent="0.25">
      <c r="A40" s="44" t="s">
        <v>627</v>
      </c>
      <c r="G40" s="91">
        <v>161292</v>
      </c>
      <c r="I40" s="46"/>
      <c r="M40" s="69"/>
      <c r="Z40" s="70"/>
      <c r="AA40" s="70"/>
      <c r="AB40" s="90"/>
    </row>
    <row r="41" spans="1:28" ht="15" customHeight="1" x14ac:dyDescent="0.25">
      <c r="A41" s="44" t="s">
        <v>604</v>
      </c>
      <c r="G41" s="79">
        <v>3080</v>
      </c>
      <c r="I41" s="46"/>
      <c r="M41" s="69"/>
    </row>
    <row r="42" spans="1:28" ht="15.75" customHeight="1" x14ac:dyDescent="0.25">
      <c r="A42" s="21" t="s">
        <v>606</v>
      </c>
      <c r="G42" s="80">
        <v>4230655</v>
      </c>
      <c r="I42" s="46"/>
    </row>
    <row r="43" spans="1:28" ht="15" customHeight="1" x14ac:dyDescent="0.25">
      <c r="A43" s="44" t="s">
        <v>605</v>
      </c>
      <c r="G43" s="81"/>
      <c r="H43" s="44"/>
      <c r="I43" s="46"/>
    </row>
    <row r="44" spans="1:28" ht="15" customHeight="1" x14ac:dyDescent="0.25">
      <c r="A44" s="21" t="s">
        <v>607</v>
      </c>
      <c r="G44" s="80">
        <v>9523806</v>
      </c>
      <c r="H44" s="44"/>
      <c r="I44" s="46"/>
    </row>
    <row r="45" spans="1:28" ht="23.25" customHeight="1" x14ac:dyDescent="0.2">
      <c r="A45" s="44"/>
      <c r="E45" s="21" t="s">
        <v>608</v>
      </c>
      <c r="H45" s="44"/>
      <c r="I45" s="71">
        <f>SUM(G38:G44)+I32+I33</f>
        <v>21209811</v>
      </c>
    </row>
    <row r="46" spans="1:28" ht="15" customHeight="1" x14ac:dyDescent="0.2">
      <c r="A46" s="95" t="s">
        <v>609</v>
      </c>
      <c r="B46" s="96"/>
      <c r="C46" s="96"/>
      <c r="D46" s="82"/>
      <c r="H46" s="41"/>
      <c r="I46" s="43" t="s">
        <v>610</v>
      </c>
    </row>
    <row r="47" spans="1:28" ht="7.5" customHeight="1" x14ac:dyDescent="0.2">
      <c r="A47" s="95" t="s">
        <v>611</v>
      </c>
      <c r="B47" s="96"/>
      <c r="C47" s="96"/>
      <c r="D47" s="82"/>
      <c r="H47" s="44"/>
      <c r="I47" s="46"/>
    </row>
    <row r="48" spans="1:28" ht="15" customHeight="1" x14ac:dyDescent="0.2">
      <c r="A48" s="44"/>
      <c r="H48" s="44"/>
      <c r="I48" s="46"/>
      <c r="J48" s="45">
        <f>I50-34590000</f>
        <v>126262741</v>
      </c>
      <c r="N48" s="21" t="s">
        <v>612</v>
      </c>
      <c r="S48" s="45"/>
    </row>
    <row r="49" spans="1:9" ht="14.25" customHeight="1" x14ac:dyDescent="0.2">
      <c r="A49" s="44"/>
      <c r="H49" s="44"/>
      <c r="I49" s="46"/>
    </row>
    <row r="50" spans="1:9" x14ac:dyDescent="0.2">
      <c r="A50" s="44"/>
      <c r="E50" s="96" t="s">
        <v>613</v>
      </c>
      <c r="F50" s="96"/>
      <c r="H50" s="44"/>
      <c r="I50" s="71">
        <f>I52-I45</f>
        <v>160852741</v>
      </c>
    </row>
    <row r="51" spans="1:9" x14ac:dyDescent="0.2">
      <c r="A51" s="44"/>
      <c r="H51" s="44"/>
      <c r="I51" s="46"/>
    </row>
    <row r="52" spans="1:9" x14ac:dyDescent="0.2">
      <c r="A52" s="64" t="s">
        <v>620</v>
      </c>
      <c r="H52" s="44"/>
      <c r="I52" s="71">
        <f>I24</f>
        <v>182062552</v>
      </c>
    </row>
    <row r="53" spans="1:9" x14ac:dyDescent="0.2">
      <c r="A53" s="60"/>
      <c r="B53" s="61"/>
      <c r="C53" s="61"/>
      <c r="D53" s="61"/>
      <c r="E53" s="61"/>
      <c r="F53" s="61"/>
      <c r="G53" s="61"/>
      <c r="H53" s="60"/>
      <c r="I53" s="72"/>
    </row>
  </sheetData>
  <mergeCells count="4">
    <mergeCell ref="A3:I3"/>
    <mergeCell ref="A46:C46"/>
    <mergeCell ref="A47:C47"/>
    <mergeCell ref="E50:F50"/>
  </mergeCells>
  <pageMargins left="0.74803149606299213" right="0.74803149606299213" top="0.98425196850393704" bottom="0.98425196850393704" header="0" footer="0"/>
  <pageSetup paperSize="9" scale="85" orientation="portrait" r:id="rId1"/>
  <headerFooter alignWithMargins="0">
    <oddFooter>&amp;L&amp;C&amp;"Arial"&amp;8&amp;P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B9212-CF3E-4708-8B4E-9CB19D48ABAA}">
  <dimension ref="A1:Q47"/>
  <sheetViews>
    <sheetView showGridLines="0" tabSelected="1" zoomScale="104" zoomScaleNormal="104" workbookViewId="0">
      <pane ySplit="5" topLeftCell="A16" activePane="bottomLeft" state="frozenSplit"/>
      <selection activeCell="G42" sqref="G42"/>
      <selection pane="bottomLeft" activeCell="S30" sqref="S30"/>
    </sheetView>
  </sheetViews>
  <sheetFormatPr defaultRowHeight="12.75" x14ac:dyDescent="0.2"/>
  <cols>
    <col min="1" max="1" width="0.28515625" style="21" customWidth="1"/>
    <col min="2" max="2" width="0.140625" style="21" customWidth="1"/>
    <col min="3" max="3" width="45.7109375" style="21" customWidth="1"/>
    <col min="4" max="4" width="0.140625" style="21" customWidth="1"/>
    <col min="5" max="5" width="13.5703125" style="21" customWidth="1"/>
    <col min="6" max="6" width="0.140625" style="21" customWidth="1"/>
    <col min="7" max="7" width="13.5703125" style="21" customWidth="1"/>
    <col min="8" max="8" width="0.140625" style="21" customWidth="1"/>
    <col min="9" max="9" width="13.5703125" style="21" customWidth="1"/>
    <col min="10" max="10" width="0.140625" style="21" customWidth="1"/>
    <col min="11" max="11" width="13.5703125" style="21" customWidth="1"/>
    <col min="12" max="14" width="0" style="21" hidden="1" customWidth="1"/>
    <col min="15" max="15" width="14.5703125" style="21" hidden="1" customWidth="1"/>
    <col min="16" max="16" width="10.85546875" style="21" bestFit="1" customWidth="1"/>
    <col min="17" max="17" width="13.42578125" style="21" bestFit="1" customWidth="1"/>
    <col min="18" max="256" width="9.140625" style="21"/>
    <col min="257" max="257" width="0.28515625" style="21" customWidth="1"/>
    <col min="258" max="258" width="0.140625" style="21" customWidth="1"/>
    <col min="259" max="259" width="45.7109375" style="21" customWidth="1"/>
    <col min="260" max="260" width="0.140625" style="21" customWidth="1"/>
    <col min="261" max="261" width="13.5703125" style="21" customWidth="1"/>
    <col min="262" max="262" width="0.140625" style="21" customWidth="1"/>
    <col min="263" max="263" width="13.5703125" style="21" customWidth="1"/>
    <col min="264" max="264" width="0.140625" style="21" customWidth="1"/>
    <col min="265" max="265" width="13.5703125" style="21" customWidth="1"/>
    <col min="266" max="266" width="0.140625" style="21" customWidth="1"/>
    <col min="267" max="267" width="13.5703125" style="21" customWidth="1"/>
    <col min="268" max="270" width="0" style="21" hidden="1" customWidth="1"/>
    <col min="271" max="512" width="9.140625" style="21"/>
    <col min="513" max="513" width="0.28515625" style="21" customWidth="1"/>
    <col min="514" max="514" width="0.140625" style="21" customWidth="1"/>
    <col min="515" max="515" width="45.7109375" style="21" customWidth="1"/>
    <col min="516" max="516" width="0.140625" style="21" customWidth="1"/>
    <col min="517" max="517" width="13.5703125" style="21" customWidth="1"/>
    <col min="518" max="518" width="0.140625" style="21" customWidth="1"/>
    <col min="519" max="519" width="13.5703125" style="21" customWidth="1"/>
    <col min="520" max="520" width="0.140625" style="21" customWidth="1"/>
    <col min="521" max="521" width="13.5703125" style="21" customWidth="1"/>
    <col min="522" max="522" width="0.140625" style="21" customWidth="1"/>
    <col min="523" max="523" width="13.5703125" style="21" customWidth="1"/>
    <col min="524" max="526" width="0" style="21" hidden="1" customWidth="1"/>
    <col min="527" max="768" width="9.140625" style="21"/>
    <col min="769" max="769" width="0.28515625" style="21" customWidth="1"/>
    <col min="770" max="770" width="0.140625" style="21" customWidth="1"/>
    <col min="771" max="771" width="45.7109375" style="21" customWidth="1"/>
    <col min="772" max="772" width="0.140625" style="21" customWidth="1"/>
    <col min="773" max="773" width="13.5703125" style="21" customWidth="1"/>
    <col min="774" max="774" width="0.140625" style="21" customWidth="1"/>
    <col min="775" max="775" width="13.5703125" style="21" customWidth="1"/>
    <col min="776" max="776" width="0.140625" style="21" customWidth="1"/>
    <col min="777" max="777" width="13.5703125" style="21" customWidth="1"/>
    <col min="778" max="778" width="0.140625" style="21" customWidth="1"/>
    <col min="779" max="779" width="13.5703125" style="21" customWidth="1"/>
    <col min="780" max="782" width="0" style="21" hidden="1" customWidth="1"/>
    <col min="783" max="1024" width="9.140625" style="21"/>
    <col min="1025" max="1025" width="0.28515625" style="21" customWidth="1"/>
    <col min="1026" max="1026" width="0.140625" style="21" customWidth="1"/>
    <col min="1027" max="1027" width="45.7109375" style="21" customWidth="1"/>
    <col min="1028" max="1028" width="0.140625" style="21" customWidth="1"/>
    <col min="1029" max="1029" width="13.5703125" style="21" customWidth="1"/>
    <col min="1030" max="1030" width="0.140625" style="21" customWidth="1"/>
    <col min="1031" max="1031" width="13.5703125" style="21" customWidth="1"/>
    <col min="1032" max="1032" width="0.140625" style="21" customWidth="1"/>
    <col min="1033" max="1033" width="13.5703125" style="21" customWidth="1"/>
    <col min="1034" max="1034" width="0.140625" style="21" customWidth="1"/>
    <col min="1035" max="1035" width="13.5703125" style="21" customWidth="1"/>
    <col min="1036" max="1038" width="0" style="21" hidden="1" customWidth="1"/>
    <col min="1039" max="1280" width="9.140625" style="21"/>
    <col min="1281" max="1281" width="0.28515625" style="21" customWidth="1"/>
    <col min="1282" max="1282" width="0.140625" style="21" customWidth="1"/>
    <col min="1283" max="1283" width="45.7109375" style="21" customWidth="1"/>
    <col min="1284" max="1284" width="0.140625" style="21" customWidth="1"/>
    <col min="1285" max="1285" width="13.5703125" style="21" customWidth="1"/>
    <col min="1286" max="1286" width="0.140625" style="21" customWidth="1"/>
    <col min="1287" max="1287" width="13.5703125" style="21" customWidth="1"/>
    <col min="1288" max="1288" width="0.140625" style="21" customWidth="1"/>
    <col min="1289" max="1289" width="13.5703125" style="21" customWidth="1"/>
    <col min="1290" max="1290" width="0.140625" style="21" customWidth="1"/>
    <col min="1291" max="1291" width="13.5703125" style="21" customWidth="1"/>
    <col min="1292" max="1294" width="0" style="21" hidden="1" customWidth="1"/>
    <col min="1295" max="1536" width="9.140625" style="21"/>
    <col min="1537" max="1537" width="0.28515625" style="21" customWidth="1"/>
    <col min="1538" max="1538" width="0.140625" style="21" customWidth="1"/>
    <col min="1539" max="1539" width="45.7109375" style="21" customWidth="1"/>
    <col min="1540" max="1540" width="0.140625" style="21" customWidth="1"/>
    <col min="1541" max="1541" width="13.5703125" style="21" customWidth="1"/>
    <col min="1542" max="1542" width="0.140625" style="21" customWidth="1"/>
    <col min="1543" max="1543" width="13.5703125" style="21" customWidth="1"/>
    <col min="1544" max="1544" width="0.140625" style="21" customWidth="1"/>
    <col min="1545" max="1545" width="13.5703125" style="21" customWidth="1"/>
    <col min="1546" max="1546" width="0.140625" style="21" customWidth="1"/>
    <col min="1547" max="1547" width="13.5703125" style="21" customWidth="1"/>
    <col min="1548" max="1550" width="0" style="21" hidden="1" customWidth="1"/>
    <col min="1551" max="1792" width="9.140625" style="21"/>
    <col min="1793" max="1793" width="0.28515625" style="21" customWidth="1"/>
    <col min="1794" max="1794" width="0.140625" style="21" customWidth="1"/>
    <col min="1795" max="1795" width="45.7109375" style="21" customWidth="1"/>
    <col min="1796" max="1796" width="0.140625" style="21" customWidth="1"/>
    <col min="1797" max="1797" width="13.5703125" style="21" customWidth="1"/>
    <col min="1798" max="1798" width="0.140625" style="21" customWidth="1"/>
    <col min="1799" max="1799" width="13.5703125" style="21" customWidth="1"/>
    <col min="1800" max="1800" width="0.140625" style="21" customWidth="1"/>
    <col min="1801" max="1801" width="13.5703125" style="21" customWidth="1"/>
    <col min="1802" max="1802" width="0.140625" style="21" customWidth="1"/>
    <col min="1803" max="1803" width="13.5703125" style="21" customWidth="1"/>
    <col min="1804" max="1806" width="0" style="21" hidden="1" customWidth="1"/>
    <col min="1807" max="2048" width="9.140625" style="21"/>
    <col min="2049" max="2049" width="0.28515625" style="21" customWidth="1"/>
    <col min="2050" max="2050" width="0.140625" style="21" customWidth="1"/>
    <col min="2051" max="2051" width="45.7109375" style="21" customWidth="1"/>
    <col min="2052" max="2052" width="0.140625" style="21" customWidth="1"/>
    <col min="2053" max="2053" width="13.5703125" style="21" customWidth="1"/>
    <col min="2054" max="2054" width="0.140625" style="21" customWidth="1"/>
    <col min="2055" max="2055" width="13.5703125" style="21" customWidth="1"/>
    <col min="2056" max="2056" width="0.140625" style="21" customWidth="1"/>
    <col min="2057" max="2057" width="13.5703125" style="21" customWidth="1"/>
    <col min="2058" max="2058" width="0.140625" style="21" customWidth="1"/>
    <col min="2059" max="2059" width="13.5703125" style="21" customWidth="1"/>
    <col min="2060" max="2062" width="0" style="21" hidden="1" customWidth="1"/>
    <col min="2063" max="2304" width="9.140625" style="21"/>
    <col min="2305" max="2305" width="0.28515625" style="21" customWidth="1"/>
    <col min="2306" max="2306" width="0.140625" style="21" customWidth="1"/>
    <col min="2307" max="2307" width="45.7109375" style="21" customWidth="1"/>
    <col min="2308" max="2308" width="0.140625" style="21" customWidth="1"/>
    <col min="2309" max="2309" width="13.5703125" style="21" customWidth="1"/>
    <col min="2310" max="2310" width="0.140625" style="21" customWidth="1"/>
    <col min="2311" max="2311" width="13.5703125" style="21" customWidth="1"/>
    <col min="2312" max="2312" width="0.140625" style="21" customWidth="1"/>
    <col min="2313" max="2313" width="13.5703125" style="21" customWidth="1"/>
    <col min="2314" max="2314" width="0.140625" style="21" customWidth="1"/>
    <col min="2315" max="2315" width="13.5703125" style="21" customWidth="1"/>
    <col min="2316" max="2318" width="0" style="21" hidden="1" customWidth="1"/>
    <col min="2319" max="2560" width="9.140625" style="21"/>
    <col min="2561" max="2561" width="0.28515625" style="21" customWidth="1"/>
    <col min="2562" max="2562" width="0.140625" style="21" customWidth="1"/>
    <col min="2563" max="2563" width="45.7109375" style="21" customWidth="1"/>
    <col min="2564" max="2564" width="0.140625" style="21" customWidth="1"/>
    <col min="2565" max="2565" width="13.5703125" style="21" customWidth="1"/>
    <col min="2566" max="2566" width="0.140625" style="21" customWidth="1"/>
    <col min="2567" max="2567" width="13.5703125" style="21" customWidth="1"/>
    <col min="2568" max="2568" width="0.140625" style="21" customWidth="1"/>
    <col min="2569" max="2569" width="13.5703125" style="21" customWidth="1"/>
    <col min="2570" max="2570" width="0.140625" style="21" customWidth="1"/>
    <col min="2571" max="2571" width="13.5703125" style="21" customWidth="1"/>
    <col min="2572" max="2574" width="0" style="21" hidden="1" customWidth="1"/>
    <col min="2575" max="2816" width="9.140625" style="21"/>
    <col min="2817" max="2817" width="0.28515625" style="21" customWidth="1"/>
    <col min="2818" max="2818" width="0.140625" style="21" customWidth="1"/>
    <col min="2819" max="2819" width="45.7109375" style="21" customWidth="1"/>
    <col min="2820" max="2820" width="0.140625" style="21" customWidth="1"/>
    <col min="2821" max="2821" width="13.5703125" style="21" customWidth="1"/>
    <col min="2822" max="2822" width="0.140625" style="21" customWidth="1"/>
    <col min="2823" max="2823" width="13.5703125" style="21" customWidth="1"/>
    <col min="2824" max="2824" width="0.140625" style="21" customWidth="1"/>
    <col min="2825" max="2825" width="13.5703125" style="21" customWidth="1"/>
    <col min="2826" max="2826" width="0.140625" style="21" customWidth="1"/>
    <col min="2827" max="2827" width="13.5703125" style="21" customWidth="1"/>
    <col min="2828" max="2830" width="0" style="21" hidden="1" customWidth="1"/>
    <col min="2831" max="3072" width="9.140625" style="21"/>
    <col min="3073" max="3073" width="0.28515625" style="21" customWidth="1"/>
    <col min="3074" max="3074" width="0.140625" style="21" customWidth="1"/>
    <col min="3075" max="3075" width="45.7109375" style="21" customWidth="1"/>
    <col min="3076" max="3076" width="0.140625" style="21" customWidth="1"/>
    <col min="3077" max="3077" width="13.5703125" style="21" customWidth="1"/>
    <col min="3078" max="3078" width="0.140625" style="21" customWidth="1"/>
    <col min="3079" max="3079" width="13.5703125" style="21" customWidth="1"/>
    <col min="3080" max="3080" width="0.140625" style="21" customWidth="1"/>
    <col min="3081" max="3081" width="13.5703125" style="21" customWidth="1"/>
    <col min="3082" max="3082" width="0.140625" style="21" customWidth="1"/>
    <col min="3083" max="3083" width="13.5703125" style="21" customWidth="1"/>
    <col min="3084" max="3086" width="0" style="21" hidden="1" customWidth="1"/>
    <col min="3087" max="3328" width="9.140625" style="21"/>
    <col min="3329" max="3329" width="0.28515625" style="21" customWidth="1"/>
    <col min="3330" max="3330" width="0.140625" style="21" customWidth="1"/>
    <col min="3331" max="3331" width="45.7109375" style="21" customWidth="1"/>
    <col min="3332" max="3332" width="0.140625" style="21" customWidth="1"/>
    <col min="3333" max="3333" width="13.5703125" style="21" customWidth="1"/>
    <col min="3334" max="3334" width="0.140625" style="21" customWidth="1"/>
    <col min="3335" max="3335" width="13.5703125" style="21" customWidth="1"/>
    <col min="3336" max="3336" width="0.140625" style="21" customWidth="1"/>
    <col min="3337" max="3337" width="13.5703125" style="21" customWidth="1"/>
    <col min="3338" max="3338" width="0.140625" style="21" customWidth="1"/>
    <col min="3339" max="3339" width="13.5703125" style="21" customWidth="1"/>
    <col min="3340" max="3342" width="0" style="21" hidden="1" customWidth="1"/>
    <col min="3343" max="3584" width="9.140625" style="21"/>
    <col min="3585" max="3585" width="0.28515625" style="21" customWidth="1"/>
    <col min="3586" max="3586" width="0.140625" style="21" customWidth="1"/>
    <col min="3587" max="3587" width="45.7109375" style="21" customWidth="1"/>
    <col min="3588" max="3588" width="0.140625" style="21" customWidth="1"/>
    <col min="3589" max="3589" width="13.5703125" style="21" customWidth="1"/>
    <col min="3590" max="3590" width="0.140625" style="21" customWidth="1"/>
    <col min="3591" max="3591" width="13.5703125" style="21" customWidth="1"/>
    <col min="3592" max="3592" width="0.140625" style="21" customWidth="1"/>
    <col min="3593" max="3593" width="13.5703125" style="21" customWidth="1"/>
    <col min="3594" max="3594" width="0.140625" style="21" customWidth="1"/>
    <col min="3595" max="3595" width="13.5703125" style="21" customWidth="1"/>
    <col min="3596" max="3598" width="0" style="21" hidden="1" customWidth="1"/>
    <col min="3599" max="3840" width="9.140625" style="21"/>
    <col min="3841" max="3841" width="0.28515625" style="21" customWidth="1"/>
    <col min="3842" max="3842" width="0.140625" style="21" customWidth="1"/>
    <col min="3843" max="3843" width="45.7109375" style="21" customWidth="1"/>
    <col min="3844" max="3844" width="0.140625" style="21" customWidth="1"/>
    <col min="3845" max="3845" width="13.5703125" style="21" customWidth="1"/>
    <col min="3846" max="3846" width="0.140625" style="21" customWidth="1"/>
    <col min="3847" max="3847" width="13.5703125" style="21" customWidth="1"/>
    <col min="3848" max="3848" width="0.140625" style="21" customWidth="1"/>
    <col min="3849" max="3849" width="13.5703125" style="21" customWidth="1"/>
    <col min="3850" max="3850" width="0.140625" style="21" customWidth="1"/>
    <col min="3851" max="3851" width="13.5703125" style="21" customWidth="1"/>
    <col min="3852" max="3854" width="0" style="21" hidden="1" customWidth="1"/>
    <col min="3855" max="4096" width="9.140625" style="21"/>
    <col min="4097" max="4097" width="0.28515625" style="21" customWidth="1"/>
    <col min="4098" max="4098" width="0.140625" style="21" customWidth="1"/>
    <col min="4099" max="4099" width="45.7109375" style="21" customWidth="1"/>
    <col min="4100" max="4100" width="0.140625" style="21" customWidth="1"/>
    <col min="4101" max="4101" width="13.5703125" style="21" customWidth="1"/>
    <col min="4102" max="4102" width="0.140625" style="21" customWidth="1"/>
    <col min="4103" max="4103" width="13.5703125" style="21" customWidth="1"/>
    <col min="4104" max="4104" width="0.140625" style="21" customWidth="1"/>
    <col min="4105" max="4105" width="13.5703125" style="21" customWidth="1"/>
    <col min="4106" max="4106" width="0.140625" style="21" customWidth="1"/>
    <col min="4107" max="4107" width="13.5703125" style="21" customWidth="1"/>
    <col min="4108" max="4110" width="0" style="21" hidden="1" customWidth="1"/>
    <col min="4111" max="4352" width="9.140625" style="21"/>
    <col min="4353" max="4353" width="0.28515625" style="21" customWidth="1"/>
    <col min="4354" max="4354" width="0.140625" style="21" customWidth="1"/>
    <col min="4355" max="4355" width="45.7109375" style="21" customWidth="1"/>
    <col min="4356" max="4356" width="0.140625" style="21" customWidth="1"/>
    <col min="4357" max="4357" width="13.5703125" style="21" customWidth="1"/>
    <col min="4358" max="4358" width="0.140625" style="21" customWidth="1"/>
    <col min="4359" max="4359" width="13.5703125" style="21" customWidth="1"/>
    <col min="4360" max="4360" width="0.140625" style="21" customWidth="1"/>
    <col min="4361" max="4361" width="13.5703125" style="21" customWidth="1"/>
    <col min="4362" max="4362" width="0.140625" style="21" customWidth="1"/>
    <col min="4363" max="4363" width="13.5703125" style="21" customWidth="1"/>
    <col min="4364" max="4366" width="0" style="21" hidden="1" customWidth="1"/>
    <col min="4367" max="4608" width="9.140625" style="21"/>
    <col min="4609" max="4609" width="0.28515625" style="21" customWidth="1"/>
    <col min="4610" max="4610" width="0.140625" style="21" customWidth="1"/>
    <col min="4611" max="4611" width="45.7109375" style="21" customWidth="1"/>
    <col min="4612" max="4612" width="0.140625" style="21" customWidth="1"/>
    <col min="4613" max="4613" width="13.5703125" style="21" customWidth="1"/>
    <col min="4614" max="4614" width="0.140625" style="21" customWidth="1"/>
    <col min="4615" max="4615" width="13.5703125" style="21" customWidth="1"/>
    <col min="4616" max="4616" width="0.140625" style="21" customWidth="1"/>
    <col min="4617" max="4617" width="13.5703125" style="21" customWidth="1"/>
    <col min="4618" max="4618" width="0.140625" style="21" customWidth="1"/>
    <col min="4619" max="4619" width="13.5703125" style="21" customWidth="1"/>
    <col min="4620" max="4622" width="0" style="21" hidden="1" customWidth="1"/>
    <col min="4623" max="4864" width="9.140625" style="21"/>
    <col min="4865" max="4865" width="0.28515625" style="21" customWidth="1"/>
    <col min="4866" max="4866" width="0.140625" style="21" customWidth="1"/>
    <col min="4867" max="4867" width="45.7109375" style="21" customWidth="1"/>
    <col min="4868" max="4868" width="0.140625" style="21" customWidth="1"/>
    <col min="4869" max="4869" width="13.5703125" style="21" customWidth="1"/>
    <col min="4870" max="4870" width="0.140625" style="21" customWidth="1"/>
    <col min="4871" max="4871" width="13.5703125" style="21" customWidth="1"/>
    <col min="4872" max="4872" width="0.140625" style="21" customWidth="1"/>
    <col min="4873" max="4873" width="13.5703125" style="21" customWidth="1"/>
    <col min="4874" max="4874" width="0.140625" style="21" customWidth="1"/>
    <col min="4875" max="4875" width="13.5703125" style="21" customWidth="1"/>
    <col min="4876" max="4878" width="0" style="21" hidden="1" customWidth="1"/>
    <col min="4879" max="5120" width="9.140625" style="21"/>
    <col min="5121" max="5121" width="0.28515625" style="21" customWidth="1"/>
    <col min="5122" max="5122" width="0.140625" style="21" customWidth="1"/>
    <col min="5123" max="5123" width="45.7109375" style="21" customWidth="1"/>
    <col min="5124" max="5124" width="0.140625" style="21" customWidth="1"/>
    <col min="5125" max="5125" width="13.5703125" style="21" customWidth="1"/>
    <col min="5126" max="5126" width="0.140625" style="21" customWidth="1"/>
    <col min="5127" max="5127" width="13.5703125" style="21" customWidth="1"/>
    <col min="5128" max="5128" width="0.140625" style="21" customWidth="1"/>
    <col min="5129" max="5129" width="13.5703125" style="21" customWidth="1"/>
    <col min="5130" max="5130" width="0.140625" style="21" customWidth="1"/>
    <col min="5131" max="5131" width="13.5703125" style="21" customWidth="1"/>
    <col min="5132" max="5134" width="0" style="21" hidden="1" customWidth="1"/>
    <col min="5135" max="5376" width="9.140625" style="21"/>
    <col min="5377" max="5377" width="0.28515625" style="21" customWidth="1"/>
    <col min="5378" max="5378" width="0.140625" style="21" customWidth="1"/>
    <col min="5379" max="5379" width="45.7109375" style="21" customWidth="1"/>
    <col min="5380" max="5380" width="0.140625" style="21" customWidth="1"/>
    <col min="5381" max="5381" width="13.5703125" style="21" customWidth="1"/>
    <col min="5382" max="5382" width="0.140625" style="21" customWidth="1"/>
    <col min="5383" max="5383" width="13.5703125" style="21" customWidth="1"/>
    <col min="5384" max="5384" width="0.140625" style="21" customWidth="1"/>
    <col min="5385" max="5385" width="13.5703125" style="21" customWidth="1"/>
    <col min="5386" max="5386" width="0.140625" style="21" customWidth="1"/>
    <col min="5387" max="5387" width="13.5703125" style="21" customWidth="1"/>
    <col min="5388" max="5390" width="0" style="21" hidden="1" customWidth="1"/>
    <col min="5391" max="5632" width="9.140625" style="21"/>
    <col min="5633" max="5633" width="0.28515625" style="21" customWidth="1"/>
    <col min="5634" max="5634" width="0.140625" style="21" customWidth="1"/>
    <col min="5635" max="5635" width="45.7109375" style="21" customWidth="1"/>
    <col min="5636" max="5636" width="0.140625" style="21" customWidth="1"/>
    <col min="5637" max="5637" width="13.5703125" style="21" customWidth="1"/>
    <col min="5638" max="5638" width="0.140625" style="21" customWidth="1"/>
    <col min="5639" max="5639" width="13.5703125" style="21" customWidth="1"/>
    <col min="5640" max="5640" width="0.140625" style="21" customWidth="1"/>
    <col min="5641" max="5641" width="13.5703125" style="21" customWidth="1"/>
    <col min="5642" max="5642" width="0.140625" style="21" customWidth="1"/>
    <col min="5643" max="5643" width="13.5703125" style="21" customWidth="1"/>
    <col min="5644" max="5646" width="0" style="21" hidden="1" customWidth="1"/>
    <col min="5647" max="5888" width="9.140625" style="21"/>
    <col min="5889" max="5889" width="0.28515625" style="21" customWidth="1"/>
    <col min="5890" max="5890" width="0.140625" style="21" customWidth="1"/>
    <col min="5891" max="5891" width="45.7109375" style="21" customWidth="1"/>
    <col min="5892" max="5892" width="0.140625" style="21" customWidth="1"/>
    <col min="5893" max="5893" width="13.5703125" style="21" customWidth="1"/>
    <col min="5894" max="5894" width="0.140625" style="21" customWidth="1"/>
    <col min="5895" max="5895" width="13.5703125" style="21" customWidth="1"/>
    <col min="5896" max="5896" width="0.140625" style="21" customWidth="1"/>
    <col min="5897" max="5897" width="13.5703125" style="21" customWidth="1"/>
    <col min="5898" max="5898" width="0.140625" style="21" customWidth="1"/>
    <col min="5899" max="5899" width="13.5703125" style="21" customWidth="1"/>
    <col min="5900" max="5902" width="0" style="21" hidden="1" customWidth="1"/>
    <col min="5903" max="6144" width="9.140625" style="21"/>
    <col min="6145" max="6145" width="0.28515625" style="21" customWidth="1"/>
    <col min="6146" max="6146" width="0.140625" style="21" customWidth="1"/>
    <col min="6147" max="6147" width="45.7109375" style="21" customWidth="1"/>
    <col min="6148" max="6148" width="0.140625" style="21" customWidth="1"/>
    <col min="6149" max="6149" width="13.5703125" style="21" customWidth="1"/>
    <col min="6150" max="6150" width="0.140625" style="21" customWidth="1"/>
    <col min="6151" max="6151" width="13.5703125" style="21" customWidth="1"/>
    <col min="6152" max="6152" width="0.140625" style="21" customWidth="1"/>
    <col min="6153" max="6153" width="13.5703125" style="21" customWidth="1"/>
    <col min="6154" max="6154" width="0.140625" style="21" customWidth="1"/>
    <col min="6155" max="6155" width="13.5703125" style="21" customWidth="1"/>
    <col min="6156" max="6158" width="0" style="21" hidden="1" customWidth="1"/>
    <col min="6159" max="6400" width="9.140625" style="21"/>
    <col min="6401" max="6401" width="0.28515625" style="21" customWidth="1"/>
    <col min="6402" max="6402" width="0.140625" style="21" customWidth="1"/>
    <col min="6403" max="6403" width="45.7109375" style="21" customWidth="1"/>
    <col min="6404" max="6404" width="0.140625" style="21" customWidth="1"/>
    <col min="6405" max="6405" width="13.5703125" style="21" customWidth="1"/>
    <col min="6406" max="6406" width="0.140625" style="21" customWidth="1"/>
    <col min="6407" max="6407" width="13.5703125" style="21" customWidth="1"/>
    <col min="6408" max="6408" width="0.140625" style="21" customWidth="1"/>
    <col min="6409" max="6409" width="13.5703125" style="21" customWidth="1"/>
    <col min="6410" max="6410" width="0.140625" style="21" customWidth="1"/>
    <col min="6411" max="6411" width="13.5703125" style="21" customWidth="1"/>
    <col min="6412" max="6414" width="0" style="21" hidden="1" customWidth="1"/>
    <col min="6415" max="6656" width="9.140625" style="21"/>
    <col min="6657" max="6657" width="0.28515625" style="21" customWidth="1"/>
    <col min="6658" max="6658" width="0.140625" style="21" customWidth="1"/>
    <col min="6659" max="6659" width="45.7109375" style="21" customWidth="1"/>
    <col min="6660" max="6660" width="0.140625" style="21" customWidth="1"/>
    <col min="6661" max="6661" width="13.5703125" style="21" customWidth="1"/>
    <col min="6662" max="6662" width="0.140625" style="21" customWidth="1"/>
    <col min="6663" max="6663" width="13.5703125" style="21" customWidth="1"/>
    <col min="6664" max="6664" width="0.140625" style="21" customWidth="1"/>
    <col min="6665" max="6665" width="13.5703125" style="21" customWidth="1"/>
    <col min="6666" max="6666" width="0.140625" style="21" customWidth="1"/>
    <col min="6667" max="6667" width="13.5703125" style="21" customWidth="1"/>
    <col min="6668" max="6670" width="0" style="21" hidden="1" customWidth="1"/>
    <col min="6671" max="6912" width="9.140625" style="21"/>
    <col min="6913" max="6913" width="0.28515625" style="21" customWidth="1"/>
    <col min="6914" max="6914" width="0.140625" style="21" customWidth="1"/>
    <col min="6915" max="6915" width="45.7109375" style="21" customWidth="1"/>
    <col min="6916" max="6916" width="0.140625" style="21" customWidth="1"/>
    <col min="6917" max="6917" width="13.5703125" style="21" customWidth="1"/>
    <col min="6918" max="6918" width="0.140625" style="21" customWidth="1"/>
    <col min="6919" max="6919" width="13.5703125" style="21" customWidth="1"/>
    <col min="6920" max="6920" width="0.140625" style="21" customWidth="1"/>
    <col min="6921" max="6921" width="13.5703125" style="21" customWidth="1"/>
    <col min="6922" max="6922" width="0.140625" style="21" customWidth="1"/>
    <col min="6923" max="6923" width="13.5703125" style="21" customWidth="1"/>
    <col min="6924" max="6926" width="0" style="21" hidden="1" customWidth="1"/>
    <col min="6927" max="7168" width="9.140625" style="21"/>
    <col min="7169" max="7169" width="0.28515625" style="21" customWidth="1"/>
    <col min="7170" max="7170" width="0.140625" style="21" customWidth="1"/>
    <col min="7171" max="7171" width="45.7109375" style="21" customWidth="1"/>
    <col min="7172" max="7172" width="0.140625" style="21" customWidth="1"/>
    <col min="7173" max="7173" width="13.5703125" style="21" customWidth="1"/>
    <col min="7174" max="7174" width="0.140625" style="21" customWidth="1"/>
    <col min="7175" max="7175" width="13.5703125" style="21" customWidth="1"/>
    <col min="7176" max="7176" width="0.140625" style="21" customWidth="1"/>
    <col min="7177" max="7177" width="13.5703125" style="21" customWidth="1"/>
    <col min="7178" max="7178" width="0.140625" style="21" customWidth="1"/>
    <col min="7179" max="7179" width="13.5703125" style="21" customWidth="1"/>
    <col min="7180" max="7182" width="0" style="21" hidden="1" customWidth="1"/>
    <col min="7183" max="7424" width="9.140625" style="21"/>
    <col min="7425" max="7425" width="0.28515625" style="21" customWidth="1"/>
    <col min="7426" max="7426" width="0.140625" style="21" customWidth="1"/>
    <col min="7427" max="7427" width="45.7109375" style="21" customWidth="1"/>
    <col min="7428" max="7428" width="0.140625" style="21" customWidth="1"/>
    <col min="7429" max="7429" width="13.5703125" style="21" customWidth="1"/>
    <col min="7430" max="7430" width="0.140625" style="21" customWidth="1"/>
    <col min="7431" max="7431" width="13.5703125" style="21" customWidth="1"/>
    <col min="7432" max="7432" width="0.140625" style="21" customWidth="1"/>
    <col min="7433" max="7433" width="13.5703125" style="21" customWidth="1"/>
    <col min="7434" max="7434" width="0.140625" style="21" customWidth="1"/>
    <col min="7435" max="7435" width="13.5703125" style="21" customWidth="1"/>
    <col min="7436" max="7438" width="0" style="21" hidden="1" customWidth="1"/>
    <col min="7439" max="7680" width="9.140625" style="21"/>
    <col min="7681" max="7681" width="0.28515625" style="21" customWidth="1"/>
    <col min="7682" max="7682" width="0.140625" style="21" customWidth="1"/>
    <col min="7683" max="7683" width="45.7109375" style="21" customWidth="1"/>
    <col min="7684" max="7684" width="0.140625" style="21" customWidth="1"/>
    <col min="7685" max="7685" width="13.5703125" style="21" customWidth="1"/>
    <col min="7686" max="7686" width="0.140625" style="21" customWidth="1"/>
    <col min="7687" max="7687" width="13.5703125" style="21" customWidth="1"/>
    <col min="7688" max="7688" width="0.140625" style="21" customWidth="1"/>
    <col min="7689" max="7689" width="13.5703125" style="21" customWidth="1"/>
    <col min="7690" max="7690" width="0.140625" style="21" customWidth="1"/>
    <col min="7691" max="7691" width="13.5703125" style="21" customWidth="1"/>
    <col min="7692" max="7694" width="0" style="21" hidden="1" customWidth="1"/>
    <col min="7695" max="7936" width="9.140625" style="21"/>
    <col min="7937" max="7937" width="0.28515625" style="21" customWidth="1"/>
    <col min="7938" max="7938" width="0.140625" style="21" customWidth="1"/>
    <col min="7939" max="7939" width="45.7109375" style="21" customWidth="1"/>
    <col min="7940" max="7940" width="0.140625" style="21" customWidth="1"/>
    <col min="7941" max="7941" width="13.5703125" style="21" customWidth="1"/>
    <col min="7942" max="7942" width="0.140625" style="21" customWidth="1"/>
    <col min="7943" max="7943" width="13.5703125" style="21" customWidth="1"/>
    <col min="7944" max="7944" width="0.140625" style="21" customWidth="1"/>
    <col min="7945" max="7945" width="13.5703125" style="21" customWidth="1"/>
    <col min="7946" max="7946" width="0.140625" style="21" customWidth="1"/>
    <col min="7947" max="7947" width="13.5703125" style="21" customWidth="1"/>
    <col min="7948" max="7950" width="0" style="21" hidden="1" customWidth="1"/>
    <col min="7951" max="8192" width="9.140625" style="21"/>
    <col min="8193" max="8193" width="0.28515625" style="21" customWidth="1"/>
    <col min="8194" max="8194" width="0.140625" style="21" customWidth="1"/>
    <col min="8195" max="8195" width="45.7109375" style="21" customWidth="1"/>
    <col min="8196" max="8196" width="0.140625" style="21" customWidth="1"/>
    <col min="8197" max="8197" width="13.5703125" style="21" customWidth="1"/>
    <col min="8198" max="8198" width="0.140625" style="21" customWidth="1"/>
    <col min="8199" max="8199" width="13.5703125" style="21" customWidth="1"/>
    <col min="8200" max="8200" width="0.140625" style="21" customWidth="1"/>
    <col min="8201" max="8201" width="13.5703125" style="21" customWidth="1"/>
    <col min="8202" max="8202" width="0.140625" style="21" customWidth="1"/>
    <col min="8203" max="8203" width="13.5703125" style="21" customWidth="1"/>
    <col min="8204" max="8206" width="0" style="21" hidden="1" customWidth="1"/>
    <col min="8207" max="8448" width="9.140625" style="21"/>
    <col min="8449" max="8449" width="0.28515625" style="21" customWidth="1"/>
    <col min="8450" max="8450" width="0.140625" style="21" customWidth="1"/>
    <col min="8451" max="8451" width="45.7109375" style="21" customWidth="1"/>
    <col min="8452" max="8452" width="0.140625" style="21" customWidth="1"/>
    <col min="8453" max="8453" width="13.5703125" style="21" customWidth="1"/>
    <col min="8454" max="8454" width="0.140625" style="21" customWidth="1"/>
    <col min="8455" max="8455" width="13.5703125" style="21" customWidth="1"/>
    <col min="8456" max="8456" width="0.140625" style="21" customWidth="1"/>
    <col min="8457" max="8457" width="13.5703125" style="21" customWidth="1"/>
    <col min="8458" max="8458" width="0.140625" style="21" customWidth="1"/>
    <col min="8459" max="8459" width="13.5703125" style="21" customWidth="1"/>
    <col min="8460" max="8462" width="0" style="21" hidden="1" customWidth="1"/>
    <col min="8463" max="8704" width="9.140625" style="21"/>
    <col min="8705" max="8705" width="0.28515625" style="21" customWidth="1"/>
    <col min="8706" max="8706" width="0.140625" style="21" customWidth="1"/>
    <col min="8707" max="8707" width="45.7109375" style="21" customWidth="1"/>
    <col min="8708" max="8708" width="0.140625" style="21" customWidth="1"/>
    <col min="8709" max="8709" width="13.5703125" style="21" customWidth="1"/>
    <col min="8710" max="8710" width="0.140625" style="21" customWidth="1"/>
    <col min="8711" max="8711" width="13.5703125" style="21" customWidth="1"/>
    <col min="8712" max="8712" width="0.140625" style="21" customWidth="1"/>
    <col min="8713" max="8713" width="13.5703125" style="21" customWidth="1"/>
    <col min="8714" max="8714" width="0.140625" style="21" customWidth="1"/>
    <col min="8715" max="8715" width="13.5703125" style="21" customWidth="1"/>
    <col min="8716" max="8718" width="0" style="21" hidden="1" customWidth="1"/>
    <col min="8719" max="8960" width="9.140625" style="21"/>
    <col min="8961" max="8961" width="0.28515625" style="21" customWidth="1"/>
    <col min="8962" max="8962" width="0.140625" style="21" customWidth="1"/>
    <col min="8963" max="8963" width="45.7109375" style="21" customWidth="1"/>
    <col min="8964" max="8964" width="0.140625" style="21" customWidth="1"/>
    <col min="8965" max="8965" width="13.5703125" style="21" customWidth="1"/>
    <col min="8966" max="8966" width="0.140625" style="21" customWidth="1"/>
    <col min="8967" max="8967" width="13.5703125" style="21" customWidth="1"/>
    <col min="8968" max="8968" width="0.140625" style="21" customWidth="1"/>
    <col min="8969" max="8969" width="13.5703125" style="21" customWidth="1"/>
    <col min="8970" max="8970" width="0.140625" style="21" customWidth="1"/>
    <col min="8971" max="8971" width="13.5703125" style="21" customWidth="1"/>
    <col min="8972" max="8974" width="0" style="21" hidden="1" customWidth="1"/>
    <col min="8975" max="9216" width="9.140625" style="21"/>
    <col min="9217" max="9217" width="0.28515625" style="21" customWidth="1"/>
    <col min="9218" max="9218" width="0.140625" style="21" customWidth="1"/>
    <col min="9219" max="9219" width="45.7109375" style="21" customWidth="1"/>
    <col min="9220" max="9220" width="0.140625" style="21" customWidth="1"/>
    <col min="9221" max="9221" width="13.5703125" style="21" customWidth="1"/>
    <col min="9222" max="9222" width="0.140625" style="21" customWidth="1"/>
    <col min="9223" max="9223" width="13.5703125" style="21" customWidth="1"/>
    <col min="9224" max="9224" width="0.140625" style="21" customWidth="1"/>
    <col min="9225" max="9225" width="13.5703125" style="21" customWidth="1"/>
    <col min="9226" max="9226" width="0.140625" style="21" customWidth="1"/>
    <col min="9227" max="9227" width="13.5703125" style="21" customWidth="1"/>
    <col min="9228" max="9230" width="0" style="21" hidden="1" customWidth="1"/>
    <col min="9231" max="9472" width="9.140625" style="21"/>
    <col min="9473" max="9473" width="0.28515625" style="21" customWidth="1"/>
    <col min="9474" max="9474" width="0.140625" style="21" customWidth="1"/>
    <col min="9475" max="9475" width="45.7109375" style="21" customWidth="1"/>
    <col min="9476" max="9476" width="0.140625" style="21" customWidth="1"/>
    <col min="9477" max="9477" width="13.5703125" style="21" customWidth="1"/>
    <col min="9478" max="9478" width="0.140625" style="21" customWidth="1"/>
    <col min="9479" max="9479" width="13.5703125" style="21" customWidth="1"/>
    <col min="9480" max="9480" width="0.140625" style="21" customWidth="1"/>
    <col min="9481" max="9481" width="13.5703125" style="21" customWidth="1"/>
    <col min="9482" max="9482" width="0.140625" style="21" customWidth="1"/>
    <col min="9483" max="9483" width="13.5703125" style="21" customWidth="1"/>
    <col min="9484" max="9486" width="0" style="21" hidden="1" customWidth="1"/>
    <col min="9487" max="9728" width="9.140625" style="21"/>
    <col min="9729" max="9729" width="0.28515625" style="21" customWidth="1"/>
    <col min="9730" max="9730" width="0.140625" style="21" customWidth="1"/>
    <col min="9731" max="9731" width="45.7109375" style="21" customWidth="1"/>
    <col min="9732" max="9732" width="0.140625" style="21" customWidth="1"/>
    <col min="9733" max="9733" width="13.5703125" style="21" customWidth="1"/>
    <col min="9734" max="9734" width="0.140625" style="21" customWidth="1"/>
    <col min="9735" max="9735" width="13.5703125" style="21" customWidth="1"/>
    <col min="9736" max="9736" width="0.140625" style="21" customWidth="1"/>
    <col min="9737" max="9737" width="13.5703125" style="21" customWidth="1"/>
    <col min="9738" max="9738" width="0.140625" style="21" customWidth="1"/>
    <col min="9739" max="9739" width="13.5703125" style="21" customWidth="1"/>
    <col min="9740" max="9742" width="0" style="21" hidden="1" customWidth="1"/>
    <col min="9743" max="9984" width="9.140625" style="21"/>
    <col min="9985" max="9985" width="0.28515625" style="21" customWidth="1"/>
    <col min="9986" max="9986" width="0.140625" style="21" customWidth="1"/>
    <col min="9987" max="9987" width="45.7109375" style="21" customWidth="1"/>
    <col min="9988" max="9988" width="0.140625" style="21" customWidth="1"/>
    <col min="9989" max="9989" width="13.5703125" style="21" customWidth="1"/>
    <col min="9990" max="9990" width="0.140625" style="21" customWidth="1"/>
    <col min="9991" max="9991" width="13.5703125" style="21" customWidth="1"/>
    <col min="9992" max="9992" width="0.140625" style="21" customWidth="1"/>
    <col min="9993" max="9993" width="13.5703125" style="21" customWidth="1"/>
    <col min="9994" max="9994" width="0.140625" style="21" customWidth="1"/>
    <col min="9995" max="9995" width="13.5703125" style="21" customWidth="1"/>
    <col min="9996" max="9998" width="0" style="21" hidden="1" customWidth="1"/>
    <col min="9999" max="10240" width="9.140625" style="21"/>
    <col min="10241" max="10241" width="0.28515625" style="21" customWidth="1"/>
    <col min="10242" max="10242" width="0.140625" style="21" customWidth="1"/>
    <col min="10243" max="10243" width="45.7109375" style="21" customWidth="1"/>
    <col min="10244" max="10244" width="0.140625" style="21" customWidth="1"/>
    <col min="10245" max="10245" width="13.5703125" style="21" customWidth="1"/>
    <col min="10246" max="10246" width="0.140625" style="21" customWidth="1"/>
    <col min="10247" max="10247" width="13.5703125" style="21" customWidth="1"/>
    <col min="10248" max="10248" width="0.140625" style="21" customWidth="1"/>
    <col min="10249" max="10249" width="13.5703125" style="21" customWidth="1"/>
    <col min="10250" max="10250" width="0.140625" style="21" customWidth="1"/>
    <col min="10251" max="10251" width="13.5703125" style="21" customWidth="1"/>
    <col min="10252" max="10254" width="0" style="21" hidden="1" customWidth="1"/>
    <col min="10255" max="10496" width="9.140625" style="21"/>
    <col min="10497" max="10497" width="0.28515625" style="21" customWidth="1"/>
    <col min="10498" max="10498" width="0.140625" style="21" customWidth="1"/>
    <col min="10499" max="10499" width="45.7109375" style="21" customWidth="1"/>
    <col min="10500" max="10500" width="0.140625" style="21" customWidth="1"/>
    <col min="10501" max="10501" width="13.5703125" style="21" customWidth="1"/>
    <col min="10502" max="10502" width="0.140625" style="21" customWidth="1"/>
    <col min="10503" max="10503" width="13.5703125" style="21" customWidth="1"/>
    <col min="10504" max="10504" width="0.140625" style="21" customWidth="1"/>
    <col min="10505" max="10505" width="13.5703125" style="21" customWidth="1"/>
    <col min="10506" max="10506" width="0.140625" style="21" customWidth="1"/>
    <col min="10507" max="10507" width="13.5703125" style="21" customWidth="1"/>
    <col min="10508" max="10510" width="0" style="21" hidden="1" customWidth="1"/>
    <col min="10511" max="10752" width="9.140625" style="21"/>
    <col min="10753" max="10753" width="0.28515625" style="21" customWidth="1"/>
    <col min="10754" max="10754" width="0.140625" style="21" customWidth="1"/>
    <col min="10755" max="10755" width="45.7109375" style="21" customWidth="1"/>
    <col min="10756" max="10756" width="0.140625" style="21" customWidth="1"/>
    <col min="10757" max="10757" width="13.5703125" style="21" customWidth="1"/>
    <col min="10758" max="10758" width="0.140625" style="21" customWidth="1"/>
    <col min="10759" max="10759" width="13.5703125" style="21" customWidth="1"/>
    <col min="10760" max="10760" width="0.140625" style="21" customWidth="1"/>
    <col min="10761" max="10761" width="13.5703125" style="21" customWidth="1"/>
    <col min="10762" max="10762" width="0.140625" style="21" customWidth="1"/>
    <col min="10763" max="10763" width="13.5703125" style="21" customWidth="1"/>
    <col min="10764" max="10766" width="0" style="21" hidden="1" customWidth="1"/>
    <col min="10767" max="11008" width="9.140625" style="21"/>
    <col min="11009" max="11009" width="0.28515625" style="21" customWidth="1"/>
    <col min="11010" max="11010" width="0.140625" style="21" customWidth="1"/>
    <col min="11011" max="11011" width="45.7109375" style="21" customWidth="1"/>
    <col min="11012" max="11012" width="0.140625" style="21" customWidth="1"/>
    <col min="11013" max="11013" width="13.5703125" style="21" customWidth="1"/>
    <col min="11014" max="11014" width="0.140625" style="21" customWidth="1"/>
    <col min="11015" max="11015" width="13.5703125" style="21" customWidth="1"/>
    <col min="11016" max="11016" width="0.140625" style="21" customWidth="1"/>
    <col min="11017" max="11017" width="13.5703125" style="21" customWidth="1"/>
    <col min="11018" max="11018" width="0.140625" style="21" customWidth="1"/>
    <col min="11019" max="11019" width="13.5703125" style="21" customWidth="1"/>
    <col min="11020" max="11022" width="0" style="21" hidden="1" customWidth="1"/>
    <col min="11023" max="11264" width="9.140625" style="21"/>
    <col min="11265" max="11265" width="0.28515625" style="21" customWidth="1"/>
    <col min="11266" max="11266" width="0.140625" style="21" customWidth="1"/>
    <col min="11267" max="11267" width="45.7109375" style="21" customWidth="1"/>
    <col min="11268" max="11268" width="0.140625" style="21" customWidth="1"/>
    <col min="11269" max="11269" width="13.5703125" style="21" customWidth="1"/>
    <col min="11270" max="11270" width="0.140625" style="21" customWidth="1"/>
    <col min="11271" max="11271" width="13.5703125" style="21" customWidth="1"/>
    <col min="11272" max="11272" width="0.140625" style="21" customWidth="1"/>
    <col min="11273" max="11273" width="13.5703125" style="21" customWidth="1"/>
    <col min="11274" max="11274" width="0.140625" style="21" customWidth="1"/>
    <col min="11275" max="11275" width="13.5703125" style="21" customWidth="1"/>
    <col min="11276" max="11278" width="0" style="21" hidden="1" customWidth="1"/>
    <col min="11279" max="11520" width="9.140625" style="21"/>
    <col min="11521" max="11521" width="0.28515625" style="21" customWidth="1"/>
    <col min="11522" max="11522" width="0.140625" style="21" customWidth="1"/>
    <col min="11523" max="11523" width="45.7109375" style="21" customWidth="1"/>
    <col min="11524" max="11524" width="0.140625" style="21" customWidth="1"/>
    <col min="11525" max="11525" width="13.5703125" style="21" customWidth="1"/>
    <col min="11526" max="11526" width="0.140625" style="21" customWidth="1"/>
    <col min="11527" max="11527" width="13.5703125" style="21" customWidth="1"/>
    <col min="11528" max="11528" width="0.140625" style="21" customWidth="1"/>
    <col min="11529" max="11529" width="13.5703125" style="21" customWidth="1"/>
    <col min="11530" max="11530" width="0.140625" style="21" customWidth="1"/>
    <col min="11531" max="11531" width="13.5703125" style="21" customWidth="1"/>
    <col min="11532" max="11534" width="0" style="21" hidden="1" customWidth="1"/>
    <col min="11535" max="11776" width="9.140625" style="21"/>
    <col min="11777" max="11777" width="0.28515625" style="21" customWidth="1"/>
    <col min="11778" max="11778" width="0.140625" style="21" customWidth="1"/>
    <col min="11779" max="11779" width="45.7109375" style="21" customWidth="1"/>
    <col min="11780" max="11780" width="0.140625" style="21" customWidth="1"/>
    <col min="11781" max="11781" width="13.5703125" style="21" customWidth="1"/>
    <col min="11782" max="11782" width="0.140625" style="21" customWidth="1"/>
    <col min="11783" max="11783" width="13.5703125" style="21" customWidth="1"/>
    <col min="11784" max="11784" width="0.140625" style="21" customWidth="1"/>
    <col min="11785" max="11785" width="13.5703125" style="21" customWidth="1"/>
    <col min="11786" max="11786" width="0.140625" style="21" customWidth="1"/>
    <col min="11787" max="11787" width="13.5703125" style="21" customWidth="1"/>
    <col min="11788" max="11790" width="0" style="21" hidden="1" customWidth="1"/>
    <col min="11791" max="12032" width="9.140625" style="21"/>
    <col min="12033" max="12033" width="0.28515625" style="21" customWidth="1"/>
    <col min="12034" max="12034" width="0.140625" style="21" customWidth="1"/>
    <col min="12035" max="12035" width="45.7109375" style="21" customWidth="1"/>
    <col min="12036" max="12036" width="0.140625" style="21" customWidth="1"/>
    <col min="12037" max="12037" width="13.5703125" style="21" customWidth="1"/>
    <col min="12038" max="12038" width="0.140625" style="21" customWidth="1"/>
    <col min="12039" max="12039" width="13.5703125" style="21" customWidth="1"/>
    <col min="12040" max="12040" width="0.140625" style="21" customWidth="1"/>
    <col min="12041" max="12041" width="13.5703125" style="21" customWidth="1"/>
    <col min="12042" max="12042" width="0.140625" style="21" customWidth="1"/>
    <col min="12043" max="12043" width="13.5703125" style="21" customWidth="1"/>
    <col min="12044" max="12046" width="0" style="21" hidden="1" customWidth="1"/>
    <col min="12047" max="12288" width="9.140625" style="21"/>
    <col min="12289" max="12289" width="0.28515625" style="21" customWidth="1"/>
    <col min="12290" max="12290" width="0.140625" style="21" customWidth="1"/>
    <col min="12291" max="12291" width="45.7109375" style="21" customWidth="1"/>
    <col min="12292" max="12292" width="0.140625" style="21" customWidth="1"/>
    <col min="12293" max="12293" width="13.5703125" style="21" customWidth="1"/>
    <col min="12294" max="12294" width="0.140625" style="21" customWidth="1"/>
    <col min="12295" max="12295" width="13.5703125" style="21" customWidth="1"/>
    <col min="12296" max="12296" width="0.140625" style="21" customWidth="1"/>
    <col min="12297" max="12297" width="13.5703125" style="21" customWidth="1"/>
    <col min="12298" max="12298" width="0.140625" style="21" customWidth="1"/>
    <col min="12299" max="12299" width="13.5703125" style="21" customWidth="1"/>
    <col min="12300" max="12302" width="0" style="21" hidden="1" customWidth="1"/>
    <col min="12303" max="12544" width="9.140625" style="21"/>
    <col min="12545" max="12545" width="0.28515625" style="21" customWidth="1"/>
    <col min="12546" max="12546" width="0.140625" style="21" customWidth="1"/>
    <col min="12547" max="12547" width="45.7109375" style="21" customWidth="1"/>
    <col min="12548" max="12548" width="0.140625" style="21" customWidth="1"/>
    <col min="12549" max="12549" width="13.5703125" style="21" customWidth="1"/>
    <col min="12550" max="12550" width="0.140625" style="21" customWidth="1"/>
    <col min="12551" max="12551" width="13.5703125" style="21" customWidth="1"/>
    <col min="12552" max="12552" width="0.140625" style="21" customWidth="1"/>
    <col min="12553" max="12553" width="13.5703125" style="21" customWidth="1"/>
    <col min="12554" max="12554" width="0.140625" style="21" customWidth="1"/>
    <col min="12555" max="12555" width="13.5703125" style="21" customWidth="1"/>
    <col min="12556" max="12558" width="0" style="21" hidden="1" customWidth="1"/>
    <col min="12559" max="12800" width="9.140625" style="21"/>
    <col min="12801" max="12801" width="0.28515625" style="21" customWidth="1"/>
    <col min="12802" max="12802" width="0.140625" style="21" customWidth="1"/>
    <col min="12803" max="12803" width="45.7109375" style="21" customWidth="1"/>
    <col min="12804" max="12804" width="0.140625" style="21" customWidth="1"/>
    <col min="12805" max="12805" width="13.5703125" style="21" customWidth="1"/>
    <col min="12806" max="12806" width="0.140625" style="21" customWidth="1"/>
    <col min="12807" max="12807" width="13.5703125" style="21" customWidth="1"/>
    <col min="12808" max="12808" width="0.140625" style="21" customWidth="1"/>
    <col min="12809" max="12809" width="13.5703125" style="21" customWidth="1"/>
    <col min="12810" max="12810" width="0.140625" style="21" customWidth="1"/>
    <col min="12811" max="12811" width="13.5703125" style="21" customWidth="1"/>
    <col min="12812" max="12814" width="0" style="21" hidden="1" customWidth="1"/>
    <col min="12815" max="13056" width="9.140625" style="21"/>
    <col min="13057" max="13057" width="0.28515625" style="21" customWidth="1"/>
    <col min="13058" max="13058" width="0.140625" style="21" customWidth="1"/>
    <col min="13059" max="13059" width="45.7109375" style="21" customWidth="1"/>
    <col min="13060" max="13060" width="0.140625" style="21" customWidth="1"/>
    <col min="13061" max="13061" width="13.5703125" style="21" customWidth="1"/>
    <col min="13062" max="13062" width="0.140625" style="21" customWidth="1"/>
    <col min="13063" max="13063" width="13.5703125" style="21" customWidth="1"/>
    <col min="13064" max="13064" width="0.140625" style="21" customWidth="1"/>
    <col min="13065" max="13065" width="13.5703125" style="21" customWidth="1"/>
    <col min="13066" max="13066" width="0.140625" style="21" customWidth="1"/>
    <col min="13067" max="13067" width="13.5703125" style="21" customWidth="1"/>
    <col min="13068" max="13070" width="0" style="21" hidden="1" customWidth="1"/>
    <col min="13071" max="13312" width="9.140625" style="21"/>
    <col min="13313" max="13313" width="0.28515625" style="21" customWidth="1"/>
    <col min="13314" max="13314" width="0.140625" style="21" customWidth="1"/>
    <col min="13315" max="13315" width="45.7109375" style="21" customWidth="1"/>
    <col min="13316" max="13316" width="0.140625" style="21" customWidth="1"/>
    <col min="13317" max="13317" width="13.5703125" style="21" customWidth="1"/>
    <col min="13318" max="13318" width="0.140625" style="21" customWidth="1"/>
    <col min="13319" max="13319" width="13.5703125" style="21" customWidth="1"/>
    <col min="13320" max="13320" width="0.140625" style="21" customWidth="1"/>
    <col min="13321" max="13321" width="13.5703125" style="21" customWidth="1"/>
    <col min="13322" max="13322" width="0.140625" style="21" customWidth="1"/>
    <col min="13323" max="13323" width="13.5703125" style="21" customWidth="1"/>
    <col min="13324" max="13326" width="0" style="21" hidden="1" customWidth="1"/>
    <col min="13327" max="13568" width="9.140625" style="21"/>
    <col min="13569" max="13569" width="0.28515625" style="21" customWidth="1"/>
    <col min="13570" max="13570" width="0.140625" style="21" customWidth="1"/>
    <col min="13571" max="13571" width="45.7109375" style="21" customWidth="1"/>
    <col min="13572" max="13572" width="0.140625" style="21" customWidth="1"/>
    <col min="13573" max="13573" width="13.5703125" style="21" customWidth="1"/>
    <col min="13574" max="13574" width="0.140625" style="21" customWidth="1"/>
    <col min="13575" max="13575" width="13.5703125" style="21" customWidth="1"/>
    <col min="13576" max="13576" width="0.140625" style="21" customWidth="1"/>
    <col min="13577" max="13577" width="13.5703125" style="21" customWidth="1"/>
    <col min="13578" max="13578" width="0.140625" style="21" customWidth="1"/>
    <col min="13579" max="13579" width="13.5703125" style="21" customWidth="1"/>
    <col min="13580" max="13582" width="0" style="21" hidden="1" customWidth="1"/>
    <col min="13583" max="13824" width="9.140625" style="21"/>
    <col min="13825" max="13825" width="0.28515625" style="21" customWidth="1"/>
    <col min="13826" max="13826" width="0.140625" style="21" customWidth="1"/>
    <col min="13827" max="13827" width="45.7109375" style="21" customWidth="1"/>
    <col min="13828" max="13828" width="0.140625" style="21" customWidth="1"/>
    <col min="13829" max="13829" width="13.5703125" style="21" customWidth="1"/>
    <col min="13830" max="13830" width="0.140625" style="21" customWidth="1"/>
    <col min="13831" max="13831" width="13.5703125" style="21" customWidth="1"/>
    <col min="13832" max="13832" width="0.140625" style="21" customWidth="1"/>
    <col min="13833" max="13833" width="13.5703125" style="21" customWidth="1"/>
    <col min="13834" max="13834" width="0.140625" style="21" customWidth="1"/>
    <col min="13835" max="13835" width="13.5703125" style="21" customWidth="1"/>
    <col min="13836" max="13838" width="0" style="21" hidden="1" customWidth="1"/>
    <col min="13839" max="14080" width="9.140625" style="21"/>
    <col min="14081" max="14081" width="0.28515625" style="21" customWidth="1"/>
    <col min="14082" max="14082" width="0.140625" style="21" customWidth="1"/>
    <col min="14083" max="14083" width="45.7109375" style="21" customWidth="1"/>
    <col min="14084" max="14084" width="0.140625" style="21" customWidth="1"/>
    <col min="14085" max="14085" width="13.5703125" style="21" customWidth="1"/>
    <col min="14086" max="14086" width="0.140625" style="21" customWidth="1"/>
    <col min="14087" max="14087" width="13.5703125" style="21" customWidth="1"/>
    <col min="14088" max="14088" width="0.140625" style="21" customWidth="1"/>
    <col min="14089" max="14089" width="13.5703125" style="21" customWidth="1"/>
    <col min="14090" max="14090" width="0.140625" style="21" customWidth="1"/>
    <col min="14091" max="14091" width="13.5703125" style="21" customWidth="1"/>
    <col min="14092" max="14094" width="0" style="21" hidden="1" customWidth="1"/>
    <col min="14095" max="14336" width="9.140625" style="21"/>
    <col min="14337" max="14337" width="0.28515625" style="21" customWidth="1"/>
    <col min="14338" max="14338" width="0.140625" style="21" customWidth="1"/>
    <col min="14339" max="14339" width="45.7109375" style="21" customWidth="1"/>
    <col min="14340" max="14340" width="0.140625" style="21" customWidth="1"/>
    <col min="14341" max="14341" width="13.5703125" style="21" customWidth="1"/>
    <col min="14342" max="14342" width="0.140625" style="21" customWidth="1"/>
    <col min="14343" max="14343" width="13.5703125" style="21" customWidth="1"/>
    <col min="14344" max="14344" width="0.140625" style="21" customWidth="1"/>
    <col min="14345" max="14345" width="13.5703125" style="21" customWidth="1"/>
    <col min="14346" max="14346" width="0.140625" style="21" customWidth="1"/>
    <col min="14347" max="14347" width="13.5703125" style="21" customWidth="1"/>
    <col min="14348" max="14350" width="0" style="21" hidden="1" customWidth="1"/>
    <col min="14351" max="14592" width="9.140625" style="21"/>
    <col min="14593" max="14593" width="0.28515625" style="21" customWidth="1"/>
    <col min="14594" max="14594" width="0.140625" style="21" customWidth="1"/>
    <col min="14595" max="14595" width="45.7109375" style="21" customWidth="1"/>
    <col min="14596" max="14596" width="0.140625" style="21" customWidth="1"/>
    <col min="14597" max="14597" width="13.5703125" style="21" customWidth="1"/>
    <col min="14598" max="14598" width="0.140625" style="21" customWidth="1"/>
    <col min="14599" max="14599" width="13.5703125" style="21" customWidth="1"/>
    <col min="14600" max="14600" width="0.140625" style="21" customWidth="1"/>
    <col min="14601" max="14601" width="13.5703125" style="21" customWidth="1"/>
    <col min="14602" max="14602" width="0.140625" style="21" customWidth="1"/>
    <col min="14603" max="14603" width="13.5703125" style="21" customWidth="1"/>
    <col min="14604" max="14606" width="0" style="21" hidden="1" customWidth="1"/>
    <col min="14607" max="14848" width="9.140625" style="21"/>
    <col min="14849" max="14849" width="0.28515625" style="21" customWidth="1"/>
    <col min="14850" max="14850" width="0.140625" style="21" customWidth="1"/>
    <col min="14851" max="14851" width="45.7109375" style="21" customWidth="1"/>
    <col min="14852" max="14852" width="0.140625" style="21" customWidth="1"/>
    <col min="14853" max="14853" width="13.5703125" style="21" customWidth="1"/>
    <col min="14854" max="14854" width="0.140625" style="21" customWidth="1"/>
    <col min="14855" max="14855" width="13.5703125" style="21" customWidth="1"/>
    <col min="14856" max="14856" width="0.140625" style="21" customWidth="1"/>
    <col min="14857" max="14857" width="13.5703125" style="21" customWidth="1"/>
    <col min="14858" max="14858" width="0.140625" style="21" customWidth="1"/>
    <col min="14859" max="14859" width="13.5703125" style="21" customWidth="1"/>
    <col min="14860" max="14862" width="0" style="21" hidden="1" customWidth="1"/>
    <col min="14863" max="15104" width="9.140625" style="21"/>
    <col min="15105" max="15105" width="0.28515625" style="21" customWidth="1"/>
    <col min="15106" max="15106" width="0.140625" style="21" customWidth="1"/>
    <col min="15107" max="15107" width="45.7109375" style="21" customWidth="1"/>
    <col min="15108" max="15108" width="0.140625" style="21" customWidth="1"/>
    <col min="15109" max="15109" width="13.5703125" style="21" customWidth="1"/>
    <col min="15110" max="15110" width="0.140625" style="21" customWidth="1"/>
    <col min="15111" max="15111" width="13.5703125" style="21" customWidth="1"/>
    <col min="15112" max="15112" width="0.140625" style="21" customWidth="1"/>
    <col min="15113" max="15113" width="13.5703125" style="21" customWidth="1"/>
    <col min="15114" max="15114" width="0.140625" style="21" customWidth="1"/>
    <col min="15115" max="15115" width="13.5703125" style="21" customWidth="1"/>
    <col min="15116" max="15118" width="0" style="21" hidden="1" customWidth="1"/>
    <col min="15119" max="15360" width="9.140625" style="21"/>
    <col min="15361" max="15361" width="0.28515625" style="21" customWidth="1"/>
    <col min="15362" max="15362" width="0.140625" style="21" customWidth="1"/>
    <col min="15363" max="15363" width="45.7109375" style="21" customWidth="1"/>
    <col min="15364" max="15364" width="0.140625" style="21" customWidth="1"/>
    <col min="15365" max="15365" width="13.5703125" style="21" customWidth="1"/>
    <col min="15366" max="15366" width="0.140625" style="21" customWidth="1"/>
    <col min="15367" max="15367" width="13.5703125" style="21" customWidth="1"/>
    <col min="15368" max="15368" width="0.140625" style="21" customWidth="1"/>
    <col min="15369" max="15369" width="13.5703125" style="21" customWidth="1"/>
    <col min="15370" max="15370" width="0.140625" style="21" customWidth="1"/>
    <col min="15371" max="15371" width="13.5703125" style="21" customWidth="1"/>
    <col min="15372" max="15374" width="0" style="21" hidden="1" customWidth="1"/>
    <col min="15375" max="15616" width="9.140625" style="21"/>
    <col min="15617" max="15617" width="0.28515625" style="21" customWidth="1"/>
    <col min="15618" max="15618" width="0.140625" style="21" customWidth="1"/>
    <col min="15619" max="15619" width="45.7109375" style="21" customWidth="1"/>
    <col min="15620" max="15620" width="0.140625" style="21" customWidth="1"/>
    <col min="15621" max="15621" width="13.5703125" style="21" customWidth="1"/>
    <col min="15622" max="15622" width="0.140625" style="21" customWidth="1"/>
    <col min="15623" max="15623" width="13.5703125" style="21" customWidth="1"/>
    <col min="15624" max="15624" width="0.140625" style="21" customWidth="1"/>
    <col min="15625" max="15625" width="13.5703125" style="21" customWidth="1"/>
    <col min="15626" max="15626" width="0.140625" style="21" customWidth="1"/>
    <col min="15627" max="15627" width="13.5703125" style="21" customWidth="1"/>
    <col min="15628" max="15630" width="0" style="21" hidden="1" customWidth="1"/>
    <col min="15631" max="15872" width="9.140625" style="21"/>
    <col min="15873" max="15873" width="0.28515625" style="21" customWidth="1"/>
    <col min="15874" max="15874" width="0.140625" style="21" customWidth="1"/>
    <col min="15875" max="15875" width="45.7109375" style="21" customWidth="1"/>
    <col min="15876" max="15876" width="0.140625" style="21" customWidth="1"/>
    <col min="15877" max="15877" width="13.5703125" style="21" customWidth="1"/>
    <col min="15878" max="15878" width="0.140625" style="21" customWidth="1"/>
    <col min="15879" max="15879" width="13.5703125" style="21" customWidth="1"/>
    <col min="15880" max="15880" width="0.140625" style="21" customWidth="1"/>
    <col min="15881" max="15881" width="13.5703125" style="21" customWidth="1"/>
    <col min="15882" max="15882" width="0.140625" style="21" customWidth="1"/>
    <col min="15883" max="15883" width="13.5703125" style="21" customWidth="1"/>
    <col min="15884" max="15886" width="0" style="21" hidden="1" customWidth="1"/>
    <col min="15887" max="16128" width="9.140625" style="21"/>
    <col min="16129" max="16129" width="0.28515625" style="21" customWidth="1"/>
    <col min="16130" max="16130" width="0.140625" style="21" customWidth="1"/>
    <col min="16131" max="16131" width="45.7109375" style="21" customWidth="1"/>
    <col min="16132" max="16132" width="0.140625" style="21" customWidth="1"/>
    <col min="16133" max="16133" width="13.5703125" style="21" customWidth="1"/>
    <col min="16134" max="16134" width="0.140625" style="21" customWidth="1"/>
    <col min="16135" max="16135" width="13.5703125" style="21" customWidth="1"/>
    <col min="16136" max="16136" width="0.140625" style="21" customWidth="1"/>
    <col min="16137" max="16137" width="13.5703125" style="21" customWidth="1"/>
    <col min="16138" max="16138" width="0.140625" style="21" customWidth="1"/>
    <col min="16139" max="16139" width="13.5703125" style="21" customWidth="1"/>
    <col min="16140" max="16142" width="0" style="21" hidden="1" customWidth="1"/>
    <col min="16143" max="16384" width="9.140625" style="21"/>
  </cols>
  <sheetData>
    <row r="1" spans="1:17" ht="14.65" customHeight="1" x14ac:dyDescent="0.2"/>
    <row r="2" spans="1:17" ht="17.100000000000001" customHeight="1" x14ac:dyDescent="0.2">
      <c r="A2" s="139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7" ht="3" customHeight="1" x14ac:dyDescent="0.2"/>
    <row r="4" spans="1:17" ht="18.2" customHeight="1" x14ac:dyDescent="0.2">
      <c r="A4" s="141" t="s">
        <v>546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</row>
    <row r="5" spans="1:17" ht="3" customHeight="1" x14ac:dyDescent="0.2"/>
    <row r="6" spans="1:17" ht="9" customHeight="1" x14ac:dyDescent="0.2"/>
    <row r="7" spans="1:17" ht="11.1" customHeight="1" x14ac:dyDescent="0.2">
      <c r="B7" s="142" t="s">
        <v>443</v>
      </c>
      <c r="C7" s="103"/>
      <c r="D7" s="143" t="s">
        <v>628</v>
      </c>
      <c r="E7" s="105"/>
      <c r="F7" s="105"/>
      <c r="G7" s="106"/>
      <c r="H7" s="143" t="s">
        <v>615</v>
      </c>
      <c r="I7" s="105"/>
      <c r="J7" s="105"/>
      <c r="K7" s="106"/>
    </row>
    <row r="8" spans="1:17" ht="14.25" customHeight="1" x14ac:dyDescent="0.2">
      <c r="B8" s="132"/>
      <c r="C8" s="133"/>
      <c r="D8" s="144" t="s">
        <v>547</v>
      </c>
      <c r="E8" s="110"/>
      <c r="F8" s="144" t="s">
        <v>548</v>
      </c>
      <c r="G8" s="110"/>
      <c r="H8" s="144" t="s">
        <v>547</v>
      </c>
      <c r="I8" s="110"/>
      <c r="J8" s="144" t="s">
        <v>548</v>
      </c>
      <c r="K8" s="110"/>
    </row>
    <row r="9" spans="1:17" ht="14.1" customHeight="1" x14ac:dyDescent="0.2">
      <c r="B9" s="123" t="s">
        <v>549</v>
      </c>
      <c r="C9" s="119"/>
      <c r="D9" s="124">
        <f>'decisionale entrate '!D14</f>
        <v>0</v>
      </c>
      <c r="E9" s="125"/>
      <c r="F9" s="124">
        <f>'decisionale entrate '!E14</f>
        <v>0</v>
      </c>
      <c r="G9" s="125"/>
      <c r="H9" s="126">
        <v>36600</v>
      </c>
      <c r="I9" s="127"/>
      <c r="J9" s="126">
        <v>54250</v>
      </c>
      <c r="K9" s="127"/>
    </row>
    <row r="10" spans="1:17" ht="14.25" customHeight="1" x14ac:dyDescent="0.2">
      <c r="B10" s="123" t="s">
        <v>550</v>
      </c>
      <c r="C10" s="119"/>
      <c r="D10" s="124">
        <f>'decisionale entrate '!D21</f>
        <v>23939484</v>
      </c>
      <c r="E10" s="125"/>
      <c r="F10" s="124">
        <f>'decisionale entrate '!E21</f>
        <v>25650795</v>
      </c>
      <c r="G10" s="125"/>
      <c r="H10" s="126">
        <v>24546839</v>
      </c>
      <c r="I10" s="127"/>
      <c r="J10" s="126">
        <v>24516525</v>
      </c>
      <c r="K10" s="127"/>
    </row>
    <row r="11" spans="1:17" ht="14.1" customHeight="1" x14ac:dyDescent="0.2">
      <c r="B11" s="118" t="s">
        <v>551</v>
      </c>
      <c r="C11" s="119"/>
      <c r="D11" s="120">
        <f>SUM(D9:E10)</f>
        <v>23939484</v>
      </c>
      <c r="E11" s="106"/>
      <c r="F11" s="120">
        <f>SUM(F9:G10)</f>
        <v>25650795</v>
      </c>
      <c r="G11" s="106"/>
      <c r="H11" s="120">
        <v>24583439</v>
      </c>
      <c r="I11" s="106"/>
      <c r="J11" s="120">
        <v>24570775</v>
      </c>
      <c r="K11" s="106"/>
      <c r="P11" s="37"/>
      <c r="Q11" s="93"/>
    </row>
    <row r="12" spans="1:17" ht="24" customHeight="1" x14ac:dyDescent="0.2">
      <c r="B12" s="123" t="s">
        <v>552</v>
      </c>
      <c r="C12" s="119"/>
      <c r="D12" s="124">
        <f>'decisionale entrate '!D29</f>
        <v>0</v>
      </c>
      <c r="E12" s="125"/>
      <c r="F12" s="124">
        <f>'decisionale entrate '!E28</f>
        <v>0</v>
      </c>
      <c r="G12" s="125"/>
      <c r="H12" s="137">
        <v>1851457</v>
      </c>
      <c r="I12" s="138"/>
      <c r="J12" s="137">
        <v>1851457</v>
      </c>
      <c r="K12" s="138"/>
    </row>
    <row r="13" spans="1:17" ht="23.25" customHeight="1" x14ac:dyDescent="0.2">
      <c r="B13" s="135" t="s">
        <v>553</v>
      </c>
      <c r="C13" s="136"/>
      <c r="D13" s="124">
        <f>'decisionale entrate '!D35</f>
        <v>44154002</v>
      </c>
      <c r="E13" s="125"/>
      <c r="F13" s="124">
        <f>'decisionale entrate '!E35</f>
        <v>11576921</v>
      </c>
      <c r="G13" s="125"/>
      <c r="H13" s="126">
        <v>31753635</v>
      </c>
      <c r="I13" s="127"/>
      <c r="J13" s="126">
        <v>28049458</v>
      </c>
      <c r="K13" s="127"/>
    </row>
    <row r="14" spans="1:17" ht="14.25" customHeight="1" x14ac:dyDescent="0.2">
      <c r="B14" s="123" t="s">
        <v>554</v>
      </c>
      <c r="C14" s="119"/>
      <c r="D14" s="124">
        <f>'decisionale entrate '!D40</f>
        <v>0</v>
      </c>
      <c r="E14" s="125"/>
      <c r="F14" s="124">
        <v>0</v>
      </c>
      <c r="G14" s="125"/>
      <c r="H14" s="126">
        <v>0</v>
      </c>
      <c r="I14" s="127"/>
      <c r="J14" s="126">
        <v>0</v>
      </c>
      <c r="K14" s="127"/>
    </row>
    <row r="15" spans="1:17" ht="14.1" customHeight="1" x14ac:dyDescent="0.2">
      <c r="B15" s="118" t="s">
        <v>555</v>
      </c>
      <c r="C15" s="119"/>
      <c r="D15" s="120">
        <f>SUM(D12:E14)</f>
        <v>44154002</v>
      </c>
      <c r="E15" s="106"/>
      <c r="F15" s="120">
        <f>SUM(F12:G14)</f>
        <v>11576921</v>
      </c>
      <c r="G15" s="106"/>
      <c r="H15" s="120">
        <v>33605092</v>
      </c>
      <c r="I15" s="106"/>
      <c r="J15" s="120">
        <v>29900915</v>
      </c>
      <c r="K15" s="106"/>
      <c r="O15" s="37"/>
    </row>
    <row r="16" spans="1:17" ht="14.25" customHeight="1" x14ac:dyDescent="0.2">
      <c r="B16" s="123" t="s">
        <v>556</v>
      </c>
      <c r="C16" s="119"/>
      <c r="D16" s="124">
        <f>'decisionale entrate '!D46</f>
        <v>4057261</v>
      </c>
      <c r="E16" s="125"/>
      <c r="F16" s="124">
        <f>'decisionale entrate '!E45</f>
        <v>4298467</v>
      </c>
      <c r="G16" s="125"/>
      <c r="H16" s="126">
        <v>3888060</v>
      </c>
      <c r="I16" s="127"/>
      <c r="J16" s="126">
        <v>3419946</v>
      </c>
      <c r="K16" s="127"/>
    </row>
    <row r="17" spans="2:16" ht="14.1" customHeight="1" x14ac:dyDescent="0.2">
      <c r="B17" s="118" t="s">
        <v>557</v>
      </c>
      <c r="C17" s="119"/>
      <c r="D17" s="120">
        <f>SUM(D16)</f>
        <v>4057261</v>
      </c>
      <c r="E17" s="106"/>
      <c r="F17" s="120">
        <f>SUM(F16)</f>
        <v>4298467</v>
      </c>
      <c r="G17" s="106"/>
      <c r="H17" s="120">
        <v>3888060</v>
      </c>
      <c r="I17" s="106"/>
      <c r="J17" s="120">
        <v>3419946</v>
      </c>
      <c r="K17" s="106"/>
    </row>
    <row r="18" spans="2:16" ht="14.1" customHeight="1" x14ac:dyDescent="0.2">
      <c r="B18" s="121" t="s">
        <v>489</v>
      </c>
      <c r="C18" s="115"/>
      <c r="D18" s="122">
        <f>D11+D15+D17</f>
        <v>72150747</v>
      </c>
      <c r="E18" s="106"/>
      <c r="F18" s="122">
        <f>F11+F15+F17</f>
        <v>41526183</v>
      </c>
      <c r="G18" s="106"/>
      <c r="H18" s="122">
        <v>62076591</v>
      </c>
      <c r="I18" s="106"/>
      <c r="J18" s="122">
        <v>57891636</v>
      </c>
      <c r="K18" s="106"/>
    </row>
    <row r="19" spans="2:16" ht="14.25" customHeight="1" x14ac:dyDescent="0.2">
      <c r="B19" s="114" t="s">
        <v>558</v>
      </c>
      <c r="C19" s="115"/>
      <c r="D19" s="134">
        <f>D35-D18</f>
        <v>37500171</v>
      </c>
      <c r="E19" s="115"/>
      <c r="F19" s="134"/>
      <c r="G19" s="115"/>
      <c r="H19" s="134"/>
      <c r="I19" s="115"/>
      <c r="J19" s="134"/>
      <c r="K19" s="115"/>
    </row>
    <row r="20" spans="2:16" ht="14.1" customHeight="1" x14ac:dyDescent="0.2">
      <c r="B20" s="114" t="s">
        <v>559</v>
      </c>
      <c r="C20" s="115"/>
      <c r="D20" s="117">
        <f>SUM(D18:E19)</f>
        <v>109650918</v>
      </c>
      <c r="E20" s="115"/>
      <c r="F20" s="117">
        <f>SUM(F18:G19)</f>
        <v>41526183</v>
      </c>
      <c r="G20" s="115"/>
      <c r="H20" s="117">
        <v>62076591</v>
      </c>
      <c r="I20" s="115"/>
      <c r="J20" s="117">
        <v>57891636</v>
      </c>
      <c r="K20" s="115"/>
    </row>
    <row r="21" spans="2:16" ht="16.7" customHeight="1" x14ac:dyDescent="0.2">
      <c r="H21" s="128"/>
      <c r="I21" s="129"/>
      <c r="J21" s="129"/>
      <c r="K21" s="130"/>
    </row>
    <row r="22" spans="2:16" ht="11.1" customHeight="1" x14ac:dyDescent="0.2">
      <c r="B22" s="131" t="s">
        <v>490</v>
      </c>
      <c r="C22" s="103"/>
      <c r="D22" s="104" t="s">
        <v>628</v>
      </c>
      <c r="E22" s="105"/>
      <c r="F22" s="105"/>
      <c r="G22" s="106"/>
      <c r="H22" s="104" t="s">
        <v>615</v>
      </c>
      <c r="I22" s="105"/>
      <c r="J22" s="105"/>
      <c r="K22" s="106"/>
    </row>
    <row r="23" spans="2:16" ht="14.25" customHeight="1" x14ac:dyDescent="0.2">
      <c r="B23" s="132"/>
      <c r="C23" s="133"/>
      <c r="D23" s="109" t="s">
        <v>547</v>
      </c>
      <c r="E23" s="110"/>
      <c r="F23" s="109" t="s">
        <v>548</v>
      </c>
      <c r="G23" s="110"/>
      <c r="H23" s="111" t="s">
        <v>547</v>
      </c>
      <c r="I23" s="112"/>
      <c r="J23" s="111" t="s">
        <v>548</v>
      </c>
      <c r="K23" s="112"/>
    </row>
    <row r="24" spans="2:16" ht="14.1" customHeight="1" x14ac:dyDescent="0.2">
      <c r="B24" s="123" t="s">
        <v>560</v>
      </c>
      <c r="C24" s="119"/>
      <c r="D24" s="124">
        <f>'decisionale spese'!D11</f>
        <v>7141775</v>
      </c>
      <c r="E24" s="125"/>
      <c r="F24" s="124">
        <f>'decisionale spese'!E11</f>
        <v>6869077</v>
      </c>
      <c r="G24" s="125"/>
      <c r="H24" s="126">
        <v>6746980</v>
      </c>
      <c r="I24" s="127"/>
      <c r="J24" s="126">
        <v>6467322</v>
      </c>
      <c r="K24" s="127"/>
    </row>
    <row r="25" spans="2:16" ht="14.25" customHeight="1" x14ac:dyDescent="0.2">
      <c r="B25" s="123" t="s">
        <v>561</v>
      </c>
      <c r="C25" s="119"/>
      <c r="D25" s="124">
        <f>'decisionale spese'!D19</f>
        <v>7769177</v>
      </c>
      <c r="E25" s="125"/>
      <c r="F25" s="124">
        <f>'decisionale spese'!E19</f>
        <v>6590903</v>
      </c>
      <c r="G25" s="125"/>
      <c r="H25" s="126">
        <v>6281721</v>
      </c>
      <c r="I25" s="127"/>
      <c r="J25" s="126">
        <v>6484552</v>
      </c>
      <c r="K25" s="127"/>
    </row>
    <row r="26" spans="2:16" ht="14.1" customHeight="1" x14ac:dyDescent="0.2">
      <c r="B26" s="123" t="s">
        <v>562</v>
      </c>
      <c r="C26" s="119"/>
      <c r="D26" s="124">
        <v>0</v>
      </c>
      <c r="E26" s="125"/>
      <c r="F26" s="124">
        <v>0</v>
      </c>
      <c r="G26" s="125"/>
      <c r="H26" s="126">
        <v>0</v>
      </c>
      <c r="I26" s="127"/>
      <c r="J26" s="126">
        <v>0</v>
      </c>
      <c r="K26" s="127"/>
    </row>
    <row r="27" spans="2:16" ht="14.25" customHeight="1" x14ac:dyDescent="0.2">
      <c r="B27" s="123" t="s">
        <v>563</v>
      </c>
      <c r="C27" s="119"/>
      <c r="D27" s="124">
        <v>0</v>
      </c>
      <c r="E27" s="125"/>
      <c r="F27" s="124">
        <v>0</v>
      </c>
      <c r="G27" s="125"/>
      <c r="H27" s="126">
        <v>0</v>
      </c>
      <c r="I27" s="127"/>
      <c r="J27" s="126">
        <v>0</v>
      </c>
      <c r="K27" s="127"/>
    </row>
    <row r="28" spans="2:16" ht="14.1" customHeight="1" x14ac:dyDescent="0.2">
      <c r="B28" s="123" t="s">
        <v>564</v>
      </c>
      <c r="C28" s="119"/>
      <c r="D28" s="124">
        <v>0</v>
      </c>
      <c r="E28" s="125"/>
      <c r="F28" s="124">
        <v>0</v>
      </c>
      <c r="G28" s="125"/>
      <c r="H28" s="126">
        <v>0</v>
      </c>
      <c r="I28" s="127"/>
      <c r="J28" s="126">
        <v>0</v>
      </c>
      <c r="K28" s="127"/>
    </row>
    <row r="29" spans="2:16" ht="14.25" customHeight="1" x14ac:dyDescent="0.2">
      <c r="B29" s="118" t="s">
        <v>565</v>
      </c>
      <c r="C29" s="119"/>
      <c r="D29" s="120">
        <f>SUM(D24:E28)</f>
        <v>14910952</v>
      </c>
      <c r="E29" s="106"/>
      <c r="F29" s="120">
        <f>SUM(F24:G28)</f>
        <v>13459980</v>
      </c>
      <c r="G29" s="106"/>
      <c r="H29" s="120">
        <v>13028701</v>
      </c>
      <c r="I29" s="106"/>
      <c r="J29" s="120">
        <v>12951874</v>
      </c>
      <c r="K29" s="106"/>
      <c r="P29" s="37"/>
    </row>
    <row r="30" spans="2:16" ht="14.1" customHeight="1" x14ac:dyDescent="0.2">
      <c r="B30" s="123" t="s">
        <v>566</v>
      </c>
      <c r="C30" s="119"/>
      <c r="D30" s="124">
        <f>'decisionale spese'!D37</f>
        <v>90682705</v>
      </c>
      <c r="E30" s="125"/>
      <c r="F30" s="124">
        <f>'decisionale spese'!E37</f>
        <v>31726269</v>
      </c>
      <c r="G30" s="125"/>
      <c r="H30" s="126">
        <v>42433768</v>
      </c>
      <c r="I30" s="127"/>
      <c r="J30" s="126">
        <v>24486654</v>
      </c>
      <c r="K30" s="127"/>
    </row>
    <row r="31" spans="2:16" ht="14.25" customHeight="1" x14ac:dyDescent="0.2">
      <c r="B31" s="123" t="s">
        <v>567</v>
      </c>
      <c r="C31" s="119"/>
      <c r="D31" s="124">
        <v>0</v>
      </c>
      <c r="E31" s="125"/>
      <c r="F31" s="124">
        <v>0</v>
      </c>
      <c r="G31" s="125"/>
      <c r="H31" s="126">
        <v>0</v>
      </c>
      <c r="I31" s="127"/>
      <c r="J31" s="126">
        <v>0</v>
      </c>
      <c r="K31" s="127"/>
    </row>
    <row r="32" spans="2:16" ht="14.1" customHeight="1" x14ac:dyDescent="0.2">
      <c r="B32" s="118" t="s">
        <v>568</v>
      </c>
      <c r="C32" s="119"/>
      <c r="D32" s="120">
        <f>SUM(D30:E31)</f>
        <v>90682705</v>
      </c>
      <c r="E32" s="106"/>
      <c r="F32" s="120">
        <f>SUM(F30:G31)</f>
        <v>31726269</v>
      </c>
      <c r="G32" s="106"/>
      <c r="H32" s="120">
        <v>42433768</v>
      </c>
      <c r="I32" s="106"/>
      <c r="J32" s="120">
        <v>24486654</v>
      </c>
      <c r="K32" s="106"/>
    </row>
    <row r="33" spans="2:17" ht="14.25" customHeight="1" x14ac:dyDescent="0.2">
      <c r="B33" s="123" t="s">
        <v>569</v>
      </c>
      <c r="C33" s="119"/>
      <c r="D33" s="124">
        <f>'decisionale spese'!D49</f>
        <v>4057261</v>
      </c>
      <c r="E33" s="125"/>
      <c r="F33" s="124">
        <f>'decisionale spese'!E48</f>
        <v>4280642</v>
      </c>
      <c r="G33" s="125"/>
      <c r="H33" s="126">
        <v>3888060</v>
      </c>
      <c r="I33" s="127"/>
      <c r="J33" s="126">
        <v>3675810</v>
      </c>
      <c r="K33" s="127"/>
      <c r="O33" s="37"/>
    </row>
    <row r="34" spans="2:17" ht="14.1" customHeight="1" x14ac:dyDescent="0.2">
      <c r="B34" s="118" t="s">
        <v>570</v>
      </c>
      <c r="C34" s="119"/>
      <c r="D34" s="120">
        <f>SUM(D33)</f>
        <v>4057261</v>
      </c>
      <c r="E34" s="106"/>
      <c r="F34" s="120">
        <f>SUM(F33)</f>
        <v>4280642</v>
      </c>
      <c r="G34" s="106"/>
      <c r="H34" s="120">
        <v>3888060</v>
      </c>
      <c r="I34" s="106"/>
      <c r="J34" s="120">
        <v>3675810</v>
      </c>
      <c r="K34" s="106"/>
    </row>
    <row r="35" spans="2:17" ht="14.1" customHeight="1" x14ac:dyDescent="0.2">
      <c r="B35" s="121" t="s">
        <v>545</v>
      </c>
      <c r="C35" s="115"/>
      <c r="D35" s="122">
        <f>D29+D32+D34</f>
        <v>109650918</v>
      </c>
      <c r="E35" s="106"/>
      <c r="F35" s="122">
        <f>F29+F32+F34</f>
        <v>49466891</v>
      </c>
      <c r="G35" s="106"/>
      <c r="H35" s="122">
        <v>59350529</v>
      </c>
      <c r="I35" s="106"/>
      <c r="J35" s="122">
        <v>41114338</v>
      </c>
      <c r="K35" s="106"/>
    </row>
    <row r="36" spans="2:17" ht="14.25" customHeight="1" x14ac:dyDescent="0.2">
      <c r="B36" s="114" t="s">
        <v>571</v>
      </c>
      <c r="C36" s="115"/>
      <c r="D36" s="116"/>
      <c r="E36" s="115"/>
      <c r="F36" s="117"/>
      <c r="G36" s="115"/>
      <c r="H36" s="117"/>
      <c r="I36" s="115"/>
      <c r="J36" s="117"/>
      <c r="K36" s="115"/>
      <c r="O36" s="37"/>
    </row>
    <row r="37" spans="2:17" ht="14.1" customHeight="1" x14ac:dyDescent="0.2">
      <c r="B37" s="114" t="s">
        <v>559</v>
      </c>
      <c r="C37" s="115"/>
      <c r="D37" s="117">
        <f>D35</f>
        <v>109650918</v>
      </c>
      <c r="E37" s="115"/>
      <c r="F37" s="117">
        <f>SUM(F35:G36)</f>
        <v>49466891</v>
      </c>
      <c r="G37" s="115"/>
      <c r="H37" s="117">
        <v>59350529</v>
      </c>
      <c r="I37" s="115"/>
      <c r="J37" s="117">
        <v>41114338</v>
      </c>
      <c r="K37" s="115"/>
    </row>
    <row r="38" spans="2:17" ht="19.350000000000001" customHeight="1" x14ac:dyDescent="0.2"/>
    <row r="39" spans="2:17" ht="11.1" customHeight="1" x14ac:dyDescent="0.2">
      <c r="C39" s="102"/>
      <c r="D39" s="103"/>
      <c r="E39" s="104" t="s">
        <v>628</v>
      </c>
      <c r="F39" s="105"/>
      <c r="G39" s="105"/>
      <c r="H39" s="106"/>
      <c r="I39" s="104" t="s">
        <v>615</v>
      </c>
      <c r="J39" s="105"/>
      <c r="K39" s="105"/>
      <c r="L39" s="105"/>
      <c r="M39" s="106"/>
    </row>
    <row r="40" spans="2:17" ht="14.25" customHeight="1" x14ac:dyDescent="0.2">
      <c r="C40" s="107" t="s">
        <v>572</v>
      </c>
      <c r="D40" s="108"/>
      <c r="E40" s="109" t="s">
        <v>547</v>
      </c>
      <c r="F40" s="110"/>
      <c r="G40" s="109" t="s">
        <v>548</v>
      </c>
      <c r="H40" s="110"/>
      <c r="I40" s="111" t="s">
        <v>547</v>
      </c>
      <c r="J40" s="112"/>
      <c r="K40" s="111" t="s">
        <v>548</v>
      </c>
      <c r="L40" s="113"/>
      <c r="M40" s="112"/>
    </row>
    <row r="41" spans="2:17" ht="14.1" customHeight="1" x14ac:dyDescent="0.2">
      <c r="C41" s="97" t="s">
        <v>573</v>
      </c>
      <c r="D41" s="98"/>
      <c r="E41" s="99">
        <f>D11-D29</f>
        <v>9028532</v>
      </c>
      <c r="F41" s="98"/>
      <c r="G41" s="99">
        <f>F11-F29</f>
        <v>12190815</v>
      </c>
      <c r="H41" s="98"/>
      <c r="I41" s="99">
        <f>H11-H29</f>
        <v>11554738</v>
      </c>
      <c r="J41" s="98"/>
      <c r="K41" s="99">
        <f>J11-J29</f>
        <v>11618901</v>
      </c>
      <c r="L41" s="98"/>
      <c r="M41" s="39"/>
      <c r="O41" s="37"/>
    </row>
    <row r="42" spans="2:17" ht="14.25" customHeight="1" x14ac:dyDescent="0.2">
      <c r="C42" s="100" t="s">
        <v>574</v>
      </c>
      <c r="D42" s="98"/>
      <c r="E42" s="101">
        <f>D15-D32</f>
        <v>-46528703</v>
      </c>
      <c r="F42" s="98"/>
      <c r="G42" s="101">
        <f>F15-F32</f>
        <v>-20149348</v>
      </c>
      <c r="H42" s="98"/>
      <c r="I42" s="101">
        <f>H15-H32</f>
        <v>-8828676</v>
      </c>
      <c r="J42" s="98"/>
      <c r="K42" s="101">
        <f>J15-J32</f>
        <v>5414261</v>
      </c>
      <c r="L42" s="98"/>
      <c r="M42" s="40"/>
    </row>
    <row r="43" spans="2:17" ht="14.1" customHeight="1" x14ac:dyDescent="0.2">
      <c r="C43" s="97" t="s">
        <v>575</v>
      </c>
      <c r="D43" s="98"/>
      <c r="E43" s="99">
        <f>SUM(E41:F42)</f>
        <v>-37500171</v>
      </c>
      <c r="F43" s="98"/>
      <c r="G43" s="99">
        <f>SUM(G41:H42)</f>
        <v>-7958533</v>
      </c>
      <c r="H43" s="98"/>
      <c r="I43" s="99">
        <f>I42+I41</f>
        <v>2726062</v>
      </c>
      <c r="J43" s="98"/>
      <c r="K43" s="99">
        <f>SUM(K41:L42)</f>
        <v>17033162</v>
      </c>
      <c r="L43" s="98"/>
      <c r="M43" s="39"/>
      <c r="O43" s="37">
        <v>220570446</v>
      </c>
    </row>
    <row r="44" spans="2:17" ht="14.25" customHeight="1" x14ac:dyDescent="0.2">
      <c r="C44" s="100" t="s">
        <v>576</v>
      </c>
      <c r="D44" s="98"/>
      <c r="E44" s="101">
        <f>E43</f>
        <v>-37500171</v>
      </c>
      <c r="F44" s="98"/>
      <c r="G44" s="101">
        <f>G43</f>
        <v>-7958533</v>
      </c>
      <c r="H44" s="98"/>
      <c r="I44" s="101">
        <f>I43</f>
        <v>2726062</v>
      </c>
      <c r="J44" s="98"/>
      <c r="K44" s="101">
        <f>K43</f>
        <v>17033162</v>
      </c>
      <c r="L44" s="98"/>
      <c r="M44" s="40"/>
      <c r="O44" s="37">
        <f>O43+I45</f>
        <v>223296508</v>
      </c>
      <c r="Q44" s="37"/>
    </row>
    <row r="45" spans="2:17" ht="14.1" customHeight="1" x14ac:dyDescent="0.2">
      <c r="C45" s="97" t="s">
        <v>577</v>
      </c>
      <c r="D45" s="98"/>
      <c r="E45" s="99">
        <f>D18-D35</f>
        <v>-37500171</v>
      </c>
      <c r="F45" s="98"/>
      <c r="G45" s="99">
        <f>F18-F35</f>
        <v>-7940708</v>
      </c>
      <c r="H45" s="98"/>
      <c r="I45" s="99">
        <f>H18-H35</f>
        <v>2726062</v>
      </c>
      <c r="J45" s="98"/>
      <c r="K45" s="99">
        <f>J18-J35</f>
        <v>16777298</v>
      </c>
      <c r="L45" s="98"/>
      <c r="M45" s="39"/>
      <c r="O45" s="37">
        <v>193731</v>
      </c>
      <c r="Q45" s="37"/>
    </row>
    <row r="47" spans="2:17" x14ac:dyDescent="0.2">
      <c r="O47" s="37">
        <f>O44-O45</f>
        <v>223102777</v>
      </c>
    </row>
  </sheetData>
  <mergeCells count="180">
    <mergeCell ref="A2:K2"/>
    <mergeCell ref="A4:K4"/>
    <mergeCell ref="B7:C8"/>
    <mergeCell ref="D7:G7"/>
    <mergeCell ref="H7:K7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B13:C13"/>
    <mergeCell ref="D13:E13"/>
    <mergeCell ref="F13:G13"/>
    <mergeCell ref="H13:I13"/>
    <mergeCell ref="J13:K13"/>
    <mergeCell ref="B14:C14"/>
    <mergeCell ref="D14:E14"/>
    <mergeCell ref="F14:G14"/>
    <mergeCell ref="H14:I14"/>
    <mergeCell ref="J14:K14"/>
    <mergeCell ref="B15:C15"/>
    <mergeCell ref="D15:E15"/>
    <mergeCell ref="F15:G15"/>
    <mergeCell ref="H15:I15"/>
    <mergeCell ref="J15:K15"/>
    <mergeCell ref="B16:C16"/>
    <mergeCell ref="D16:E16"/>
    <mergeCell ref="F16:G16"/>
    <mergeCell ref="H16:I16"/>
    <mergeCell ref="J16:K16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H21:K21"/>
    <mergeCell ref="B22:C23"/>
    <mergeCell ref="D22:G22"/>
    <mergeCell ref="H22:K22"/>
    <mergeCell ref="D23:E23"/>
    <mergeCell ref="F23:G23"/>
    <mergeCell ref="H23:I23"/>
    <mergeCell ref="J23:K23"/>
    <mergeCell ref="B19:C19"/>
    <mergeCell ref="D19:E19"/>
    <mergeCell ref="F19:G19"/>
    <mergeCell ref="H19:I19"/>
    <mergeCell ref="J19:K19"/>
    <mergeCell ref="B20:C20"/>
    <mergeCell ref="D20:E20"/>
    <mergeCell ref="F20:G20"/>
    <mergeCell ref="H20:I20"/>
    <mergeCell ref="J20:K20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B29:C29"/>
    <mergeCell ref="D29:E29"/>
    <mergeCell ref="F29:G29"/>
    <mergeCell ref="H29:I29"/>
    <mergeCell ref="J29:K29"/>
    <mergeCell ref="B30:C30"/>
    <mergeCell ref="D30:E30"/>
    <mergeCell ref="F30:G30"/>
    <mergeCell ref="H30:I30"/>
    <mergeCell ref="J30:K30"/>
    <mergeCell ref="B31:C31"/>
    <mergeCell ref="D31:E31"/>
    <mergeCell ref="F31:G31"/>
    <mergeCell ref="H31:I31"/>
    <mergeCell ref="J31:K31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C39:D39"/>
    <mergeCell ref="E39:H39"/>
    <mergeCell ref="I39:M39"/>
    <mergeCell ref="C40:D40"/>
    <mergeCell ref="E40:F40"/>
    <mergeCell ref="G40:H40"/>
    <mergeCell ref="I40:J40"/>
    <mergeCell ref="K40:M40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C45:D45"/>
    <mergeCell ref="E45:F45"/>
    <mergeCell ref="G45:H45"/>
    <mergeCell ref="I45:J45"/>
    <mergeCell ref="K45:L45"/>
    <mergeCell ref="C43:D43"/>
    <mergeCell ref="E43:F43"/>
    <mergeCell ref="G43:H43"/>
    <mergeCell ref="I43:J43"/>
    <mergeCell ref="K43:L43"/>
    <mergeCell ref="C44:D44"/>
    <mergeCell ref="E44:F44"/>
    <mergeCell ref="G44:H44"/>
    <mergeCell ref="I44:J44"/>
    <mergeCell ref="K44:L44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3CB0F-FD6A-456F-ACC3-83CDD8F8F8E3}">
  <dimension ref="A1:J51"/>
  <sheetViews>
    <sheetView showGridLines="0" topLeftCell="A33" zoomScale="184" zoomScaleNormal="184" workbookViewId="0">
      <selection activeCell="C4" sqref="C4:E4"/>
    </sheetView>
  </sheetViews>
  <sheetFormatPr defaultRowHeight="12.75" x14ac:dyDescent="0.2"/>
  <cols>
    <col min="1" max="1" width="5.85546875" style="21" customWidth="1"/>
    <col min="2" max="2" width="33.7109375" style="21" customWidth="1"/>
    <col min="3" max="3" width="11.7109375" style="21" customWidth="1"/>
    <col min="4" max="4" width="11.42578125" style="21" customWidth="1"/>
    <col min="5" max="5" width="11.140625" style="21" customWidth="1"/>
    <col min="6" max="6" width="12.7109375" style="36" customWidth="1"/>
    <col min="7" max="7" width="11.28515625" style="21" customWidth="1"/>
    <col min="8" max="8" width="12.140625" style="21" customWidth="1"/>
    <col min="9" max="9" width="12.7109375" style="21" bestFit="1" customWidth="1"/>
    <col min="10" max="10" width="11.7109375" style="21" bestFit="1" customWidth="1"/>
    <col min="11" max="256" width="9.140625" style="21"/>
    <col min="257" max="257" width="5.85546875" style="21" customWidth="1"/>
    <col min="258" max="258" width="33.7109375" style="21" customWidth="1"/>
    <col min="259" max="259" width="11.7109375" style="21" customWidth="1"/>
    <col min="260" max="260" width="11.42578125" style="21" customWidth="1"/>
    <col min="261" max="261" width="11.140625" style="21" customWidth="1"/>
    <col min="262" max="262" width="12.7109375" style="21" customWidth="1"/>
    <col min="263" max="263" width="11.28515625" style="21" customWidth="1"/>
    <col min="264" max="264" width="12.140625" style="21" customWidth="1"/>
    <col min="265" max="512" width="9.140625" style="21"/>
    <col min="513" max="513" width="5.85546875" style="21" customWidth="1"/>
    <col min="514" max="514" width="33.7109375" style="21" customWidth="1"/>
    <col min="515" max="515" width="11.7109375" style="21" customWidth="1"/>
    <col min="516" max="516" width="11.42578125" style="21" customWidth="1"/>
    <col min="517" max="517" width="11.140625" style="21" customWidth="1"/>
    <col min="518" max="518" width="12.7109375" style="21" customWidth="1"/>
    <col min="519" max="519" width="11.28515625" style="21" customWidth="1"/>
    <col min="520" max="520" width="12.140625" style="21" customWidth="1"/>
    <col min="521" max="768" width="9.140625" style="21"/>
    <col min="769" max="769" width="5.85546875" style="21" customWidth="1"/>
    <col min="770" max="770" width="33.7109375" style="21" customWidth="1"/>
    <col min="771" max="771" width="11.7109375" style="21" customWidth="1"/>
    <col min="772" max="772" width="11.42578125" style="21" customWidth="1"/>
    <col min="773" max="773" width="11.140625" style="21" customWidth="1"/>
    <col min="774" max="774" width="12.7109375" style="21" customWidth="1"/>
    <col min="775" max="775" width="11.28515625" style="21" customWidth="1"/>
    <col min="776" max="776" width="12.140625" style="21" customWidth="1"/>
    <col min="777" max="1024" width="9.140625" style="21"/>
    <col min="1025" max="1025" width="5.85546875" style="21" customWidth="1"/>
    <col min="1026" max="1026" width="33.7109375" style="21" customWidth="1"/>
    <col min="1027" max="1027" width="11.7109375" style="21" customWidth="1"/>
    <col min="1028" max="1028" width="11.42578125" style="21" customWidth="1"/>
    <col min="1029" max="1029" width="11.140625" style="21" customWidth="1"/>
    <col min="1030" max="1030" width="12.7109375" style="21" customWidth="1"/>
    <col min="1031" max="1031" width="11.28515625" style="21" customWidth="1"/>
    <col min="1032" max="1032" width="12.140625" style="21" customWidth="1"/>
    <col min="1033" max="1280" width="9.140625" style="21"/>
    <col min="1281" max="1281" width="5.85546875" style="21" customWidth="1"/>
    <col min="1282" max="1282" width="33.7109375" style="21" customWidth="1"/>
    <col min="1283" max="1283" width="11.7109375" style="21" customWidth="1"/>
    <col min="1284" max="1284" width="11.42578125" style="21" customWidth="1"/>
    <col min="1285" max="1285" width="11.140625" style="21" customWidth="1"/>
    <col min="1286" max="1286" width="12.7109375" style="21" customWidth="1"/>
    <col min="1287" max="1287" width="11.28515625" style="21" customWidth="1"/>
    <col min="1288" max="1288" width="12.140625" style="21" customWidth="1"/>
    <col min="1289" max="1536" width="9.140625" style="21"/>
    <col min="1537" max="1537" width="5.85546875" style="21" customWidth="1"/>
    <col min="1538" max="1538" width="33.7109375" style="21" customWidth="1"/>
    <col min="1539" max="1539" width="11.7109375" style="21" customWidth="1"/>
    <col min="1540" max="1540" width="11.42578125" style="21" customWidth="1"/>
    <col min="1541" max="1541" width="11.140625" style="21" customWidth="1"/>
    <col min="1542" max="1542" width="12.7109375" style="21" customWidth="1"/>
    <col min="1543" max="1543" width="11.28515625" style="21" customWidth="1"/>
    <col min="1544" max="1544" width="12.140625" style="21" customWidth="1"/>
    <col min="1545" max="1792" width="9.140625" style="21"/>
    <col min="1793" max="1793" width="5.85546875" style="21" customWidth="1"/>
    <col min="1794" max="1794" width="33.7109375" style="21" customWidth="1"/>
    <col min="1795" max="1795" width="11.7109375" style="21" customWidth="1"/>
    <col min="1796" max="1796" width="11.42578125" style="21" customWidth="1"/>
    <col min="1797" max="1797" width="11.140625" style="21" customWidth="1"/>
    <col min="1798" max="1798" width="12.7109375" style="21" customWidth="1"/>
    <col min="1799" max="1799" width="11.28515625" style="21" customWidth="1"/>
    <col min="1800" max="1800" width="12.140625" style="21" customWidth="1"/>
    <col min="1801" max="2048" width="9.140625" style="21"/>
    <col min="2049" max="2049" width="5.85546875" style="21" customWidth="1"/>
    <col min="2050" max="2050" width="33.7109375" style="21" customWidth="1"/>
    <col min="2051" max="2051" width="11.7109375" style="21" customWidth="1"/>
    <col min="2052" max="2052" width="11.42578125" style="21" customWidth="1"/>
    <col min="2053" max="2053" width="11.140625" style="21" customWidth="1"/>
    <col min="2054" max="2054" width="12.7109375" style="21" customWidth="1"/>
    <col min="2055" max="2055" width="11.28515625" style="21" customWidth="1"/>
    <col min="2056" max="2056" width="12.140625" style="21" customWidth="1"/>
    <col min="2057" max="2304" width="9.140625" style="21"/>
    <col min="2305" max="2305" width="5.85546875" style="21" customWidth="1"/>
    <col min="2306" max="2306" width="33.7109375" style="21" customWidth="1"/>
    <col min="2307" max="2307" width="11.7109375" style="21" customWidth="1"/>
    <col min="2308" max="2308" width="11.42578125" style="21" customWidth="1"/>
    <col min="2309" max="2309" width="11.140625" style="21" customWidth="1"/>
    <col min="2310" max="2310" width="12.7109375" style="21" customWidth="1"/>
    <col min="2311" max="2311" width="11.28515625" style="21" customWidth="1"/>
    <col min="2312" max="2312" width="12.140625" style="21" customWidth="1"/>
    <col min="2313" max="2560" width="9.140625" style="21"/>
    <col min="2561" max="2561" width="5.85546875" style="21" customWidth="1"/>
    <col min="2562" max="2562" width="33.7109375" style="21" customWidth="1"/>
    <col min="2563" max="2563" width="11.7109375" style="21" customWidth="1"/>
    <col min="2564" max="2564" width="11.42578125" style="21" customWidth="1"/>
    <col min="2565" max="2565" width="11.140625" style="21" customWidth="1"/>
    <col min="2566" max="2566" width="12.7109375" style="21" customWidth="1"/>
    <col min="2567" max="2567" width="11.28515625" style="21" customWidth="1"/>
    <col min="2568" max="2568" width="12.140625" style="21" customWidth="1"/>
    <col min="2569" max="2816" width="9.140625" style="21"/>
    <col min="2817" max="2817" width="5.85546875" style="21" customWidth="1"/>
    <col min="2818" max="2818" width="33.7109375" style="21" customWidth="1"/>
    <col min="2819" max="2819" width="11.7109375" style="21" customWidth="1"/>
    <col min="2820" max="2820" width="11.42578125" style="21" customWidth="1"/>
    <col min="2821" max="2821" width="11.140625" style="21" customWidth="1"/>
    <col min="2822" max="2822" width="12.7109375" style="21" customWidth="1"/>
    <col min="2823" max="2823" width="11.28515625" style="21" customWidth="1"/>
    <col min="2824" max="2824" width="12.140625" style="21" customWidth="1"/>
    <col min="2825" max="3072" width="9.140625" style="21"/>
    <col min="3073" max="3073" width="5.85546875" style="21" customWidth="1"/>
    <col min="3074" max="3074" width="33.7109375" style="21" customWidth="1"/>
    <col min="3075" max="3075" width="11.7109375" style="21" customWidth="1"/>
    <col min="3076" max="3076" width="11.42578125" style="21" customWidth="1"/>
    <col min="3077" max="3077" width="11.140625" style="21" customWidth="1"/>
    <col min="3078" max="3078" width="12.7109375" style="21" customWidth="1"/>
    <col min="3079" max="3079" width="11.28515625" style="21" customWidth="1"/>
    <col min="3080" max="3080" width="12.140625" style="21" customWidth="1"/>
    <col min="3081" max="3328" width="9.140625" style="21"/>
    <col min="3329" max="3329" width="5.85546875" style="21" customWidth="1"/>
    <col min="3330" max="3330" width="33.7109375" style="21" customWidth="1"/>
    <col min="3331" max="3331" width="11.7109375" style="21" customWidth="1"/>
    <col min="3332" max="3332" width="11.42578125" style="21" customWidth="1"/>
    <col min="3333" max="3333" width="11.140625" style="21" customWidth="1"/>
    <col min="3334" max="3334" width="12.7109375" style="21" customWidth="1"/>
    <col min="3335" max="3335" width="11.28515625" style="21" customWidth="1"/>
    <col min="3336" max="3336" width="12.140625" style="21" customWidth="1"/>
    <col min="3337" max="3584" width="9.140625" style="21"/>
    <col min="3585" max="3585" width="5.85546875" style="21" customWidth="1"/>
    <col min="3586" max="3586" width="33.7109375" style="21" customWidth="1"/>
    <col min="3587" max="3587" width="11.7109375" style="21" customWidth="1"/>
    <col min="3588" max="3588" width="11.42578125" style="21" customWidth="1"/>
    <col min="3589" max="3589" width="11.140625" style="21" customWidth="1"/>
    <col min="3590" max="3590" width="12.7109375" style="21" customWidth="1"/>
    <col min="3591" max="3591" width="11.28515625" style="21" customWidth="1"/>
    <col min="3592" max="3592" width="12.140625" style="21" customWidth="1"/>
    <col min="3593" max="3840" width="9.140625" style="21"/>
    <col min="3841" max="3841" width="5.85546875" style="21" customWidth="1"/>
    <col min="3842" max="3842" width="33.7109375" style="21" customWidth="1"/>
    <col min="3843" max="3843" width="11.7109375" style="21" customWidth="1"/>
    <col min="3844" max="3844" width="11.42578125" style="21" customWidth="1"/>
    <col min="3845" max="3845" width="11.140625" style="21" customWidth="1"/>
    <col min="3846" max="3846" width="12.7109375" style="21" customWidth="1"/>
    <col min="3847" max="3847" width="11.28515625" style="21" customWidth="1"/>
    <col min="3848" max="3848" width="12.140625" style="21" customWidth="1"/>
    <col min="3849" max="4096" width="9.140625" style="21"/>
    <col min="4097" max="4097" width="5.85546875" style="21" customWidth="1"/>
    <col min="4098" max="4098" width="33.7109375" style="21" customWidth="1"/>
    <col min="4099" max="4099" width="11.7109375" style="21" customWidth="1"/>
    <col min="4100" max="4100" width="11.42578125" style="21" customWidth="1"/>
    <col min="4101" max="4101" width="11.140625" style="21" customWidth="1"/>
    <col min="4102" max="4102" width="12.7109375" style="21" customWidth="1"/>
    <col min="4103" max="4103" width="11.28515625" style="21" customWidth="1"/>
    <col min="4104" max="4104" width="12.140625" style="21" customWidth="1"/>
    <col min="4105" max="4352" width="9.140625" style="21"/>
    <col min="4353" max="4353" width="5.85546875" style="21" customWidth="1"/>
    <col min="4354" max="4354" width="33.7109375" style="21" customWidth="1"/>
    <col min="4355" max="4355" width="11.7109375" style="21" customWidth="1"/>
    <col min="4356" max="4356" width="11.42578125" style="21" customWidth="1"/>
    <col min="4357" max="4357" width="11.140625" style="21" customWidth="1"/>
    <col min="4358" max="4358" width="12.7109375" style="21" customWidth="1"/>
    <col min="4359" max="4359" width="11.28515625" style="21" customWidth="1"/>
    <col min="4360" max="4360" width="12.140625" style="21" customWidth="1"/>
    <col min="4361" max="4608" width="9.140625" style="21"/>
    <col min="4609" max="4609" width="5.85546875" style="21" customWidth="1"/>
    <col min="4610" max="4610" width="33.7109375" style="21" customWidth="1"/>
    <col min="4611" max="4611" width="11.7109375" style="21" customWidth="1"/>
    <col min="4612" max="4612" width="11.42578125" style="21" customWidth="1"/>
    <col min="4613" max="4613" width="11.140625" style="21" customWidth="1"/>
    <col min="4614" max="4614" width="12.7109375" style="21" customWidth="1"/>
    <col min="4615" max="4615" width="11.28515625" style="21" customWidth="1"/>
    <col min="4616" max="4616" width="12.140625" style="21" customWidth="1"/>
    <col min="4617" max="4864" width="9.140625" style="21"/>
    <col min="4865" max="4865" width="5.85546875" style="21" customWidth="1"/>
    <col min="4866" max="4866" width="33.7109375" style="21" customWidth="1"/>
    <col min="4867" max="4867" width="11.7109375" style="21" customWidth="1"/>
    <col min="4868" max="4868" width="11.42578125" style="21" customWidth="1"/>
    <col min="4869" max="4869" width="11.140625" style="21" customWidth="1"/>
    <col min="4870" max="4870" width="12.7109375" style="21" customWidth="1"/>
    <col min="4871" max="4871" width="11.28515625" style="21" customWidth="1"/>
    <col min="4872" max="4872" width="12.140625" style="21" customWidth="1"/>
    <col min="4873" max="5120" width="9.140625" style="21"/>
    <col min="5121" max="5121" width="5.85546875" style="21" customWidth="1"/>
    <col min="5122" max="5122" width="33.7109375" style="21" customWidth="1"/>
    <col min="5123" max="5123" width="11.7109375" style="21" customWidth="1"/>
    <col min="5124" max="5124" width="11.42578125" style="21" customWidth="1"/>
    <col min="5125" max="5125" width="11.140625" style="21" customWidth="1"/>
    <col min="5126" max="5126" width="12.7109375" style="21" customWidth="1"/>
    <col min="5127" max="5127" width="11.28515625" style="21" customWidth="1"/>
    <col min="5128" max="5128" width="12.140625" style="21" customWidth="1"/>
    <col min="5129" max="5376" width="9.140625" style="21"/>
    <col min="5377" max="5377" width="5.85546875" style="21" customWidth="1"/>
    <col min="5378" max="5378" width="33.7109375" style="21" customWidth="1"/>
    <col min="5379" max="5379" width="11.7109375" style="21" customWidth="1"/>
    <col min="5380" max="5380" width="11.42578125" style="21" customWidth="1"/>
    <col min="5381" max="5381" width="11.140625" style="21" customWidth="1"/>
    <col min="5382" max="5382" width="12.7109375" style="21" customWidth="1"/>
    <col min="5383" max="5383" width="11.28515625" style="21" customWidth="1"/>
    <col min="5384" max="5384" width="12.140625" style="21" customWidth="1"/>
    <col min="5385" max="5632" width="9.140625" style="21"/>
    <col min="5633" max="5633" width="5.85546875" style="21" customWidth="1"/>
    <col min="5634" max="5634" width="33.7109375" style="21" customWidth="1"/>
    <col min="5635" max="5635" width="11.7109375" style="21" customWidth="1"/>
    <col min="5636" max="5636" width="11.42578125" style="21" customWidth="1"/>
    <col min="5637" max="5637" width="11.140625" style="21" customWidth="1"/>
    <col min="5638" max="5638" width="12.7109375" style="21" customWidth="1"/>
    <col min="5639" max="5639" width="11.28515625" style="21" customWidth="1"/>
    <col min="5640" max="5640" width="12.140625" style="21" customWidth="1"/>
    <col min="5641" max="5888" width="9.140625" style="21"/>
    <col min="5889" max="5889" width="5.85546875" style="21" customWidth="1"/>
    <col min="5890" max="5890" width="33.7109375" style="21" customWidth="1"/>
    <col min="5891" max="5891" width="11.7109375" style="21" customWidth="1"/>
    <col min="5892" max="5892" width="11.42578125" style="21" customWidth="1"/>
    <col min="5893" max="5893" width="11.140625" style="21" customWidth="1"/>
    <col min="5894" max="5894" width="12.7109375" style="21" customWidth="1"/>
    <col min="5895" max="5895" width="11.28515625" style="21" customWidth="1"/>
    <col min="5896" max="5896" width="12.140625" style="21" customWidth="1"/>
    <col min="5897" max="6144" width="9.140625" style="21"/>
    <col min="6145" max="6145" width="5.85546875" style="21" customWidth="1"/>
    <col min="6146" max="6146" width="33.7109375" style="21" customWidth="1"/>
    <col min="6147" max="6147" width="11.7109375" style="21" customWidth="1"/>
    <col min="6148" max="6148" width="11.42578125" style="21" customWidth="1"/>
    <col min="6149" max="6149" width="11.140625" style="21" customWidth="1"/>
    <col min="6150" max="6150" width="12.7109375" style="21" customWidth="1"/>
    <col min="6151" max="6151" width="11.28515625" style="21" customWidth="1"/>
    <col min="6152" max="6152" width="12.140625" style="21" customWidth="1"/>
    <col min="6153" max="6400" width="9.140625" style="21"/>
    <col min="6401" max="6401" width="5.85546875" style="21" customWidth="1"/>
    <col min="6402" max="6402" width="33.7109375" style="21" customWidth="1"/>
    <col min="6403" max="6403" width="11.7109375" style="21" customWidth="1"/>
    <col min="6404" max="6404" width="11.42578125" style="21" customWidth="1"/>
    <col min="6405" max="6405" width="11.140625" style="21" customWidth="1"/>
    <col min="6406" max="6406" width="12.7109375" style="21" customWidth="1"/>
    <col min="6407" max="6407" width="11.28515625" style="21" customWidth="1"/>
    <col min="6408" max="6408" width="12.140625" style="21" customWidth="1"/>
    <col min="6409" max="6656" width="9.140625" style="21"/>
    <col min="6657" max="6657" width="5.85546875" style="21" customWidth="1"/>
    <col min="6658" max="6658" width="33.7109375" style="21" customWidth="1"/>
    <col min="6659" max="6659" width="11.7109375" style="21" customWidth="1"/>
    <col min="6660" max="6660" width="11.42578125" style="21" customWidth="1"/>
    <col min="6661" max="6661" width="11.140625" style="21" customWidth="1"/>
    <col min="6662" max="6662" width="12.7109375" style="21" customWidth="1"/>
    <col min="6663" max="6663" width="11.28515625" style="21" customWidth="1"/>
    <col min="6664" max="6664" width="12.140625" style="21" customWidth="1"/>
    <col min="6665" max="6912" width="9.140625" style="21"/>
    <col min="6913" max="6913" width="5.85546875" style="21" customWidth="1"/>
    <col min="6914" max="6914" width="33.7109375" style="21" customWidth="1"/>
    <col min="6915" max="6915" width="11.7109375" style="21" customWidth="1"/>
    <col min="6916" max="6916" width="11.42578125" style="21" customWidth="1"/>
    <col min="6917" max="6917" width="11.140625" style="21" customWidth="1"/>
    <col min="6918" max="6918" width="12.7109375" style="21" customWidth="1"/>
    <col min="6919" max="6919" width="11.28515625" style="21" customWidth="1"/>
    <col min="6920" max="6920" width="12.140625" style="21" customWidth="1"/>
    <col min="6921" max="7168" width="9.140625" style="21"/>
    <col min="7169" max="7169" width="5.85546875" style="21" customWidth="1"/>
    <col min="7170" max="7170" width="33.7109375" style="21" customWidth="1"/>
    <col min="7171" max="7171" width="11.7109375" style="21" customWidth="1"/>
    <col min="7172" max="7172" width="11.42578125" style="21" customWidth="1"/>
    <col min="7173" max="7173" width="11.140625" style="21" customWidth="1"/>
    <col min="7174" max="7174" width="12.7109375" style="21" customWidth="1"/>
    <col min="7175" max="7175" width="11.28515625" style="21" customWidth="1"/>
    <col min="7176" max="7176" width="12.140625" style="21" customWidth="1"/>
    <col min="7177" max="7424" width="9.140625" style="21"/>
    <col min="7425" max="7425" width="5.85546875" style="21" customWidth="1"/>
    <col min="7426" max="7426" width="33.7109375" style="21" customWidth="1"/>
    <col min="7427" max="7427" width="11.7109375" style="21" customWidth="1"/>
    <col min="7428" max="7428" width="11.42578125" style="21" customWidth="1"/>
    <col min="7429" max="7429" width="11.140625" style="21" customWidth="1"/>
    <col min="7430" max="7430" width="12.7109375" style="21" customWidth="1"/>
    <col min="7431" max="7431" width="11.28515625" style="21" customWidth="1"/>
    <col min="7432" max="7432" width="12.140625" style="21" customWidth="1"/>
    <col min="7433" max="7680" width="9.140625" style="21"/>
    <col min="7681" max="7681" width="5.85546875" style="21" customWidth="1"/>
    <col min="7682" max="7682" width="33.7109375" style="21" customWidth="1"/>
    <col min="7683" max="7683" width="11.7109375" style="21" customWidth="1"/>
    <col min="7684" max="7684" width="11.42578125" style="21" customWidth="1"/>
    <col min="7685" max="7685" width="11.140625" style="21" customWidth="1"/>
    <col min="7686" max="7686" width="12.7109375" style="21" customWidth="1"/>
    <col min="7687" max="7687" width="11.28515625" style="21" customWidth="1"/>
    <col min="7688" max="7688" width="12.140625" style="21" customWidth="1"/>
    <col min="7689" max="7936" width="9.140625" style="21"/>
    <col min="7937" max="7937" width="5.85546875" style="21" customWidth="1"/>
    <col min="7938" max="7938" width="33.7109375" style="21" customWidth="1"/>
    <col min="7939" max="7939" width="11.7109375" style="21" customWidth="1"/>
    <col min="7940" max="7940" width="11.42578125" style="21" customWidth="1"/>
    <col min="7941" max="7941" width="11.140625" style="21" customWidth="1"/>
    <col min="7942" max="7942" width="12.7109375" style="21" customWidth="1"/>
    <col min="7943" max="7943" width="11.28515625" style="21" customWidth="1"/>
    <col min="7944" max="7944" width="12.140625" style="21" customWidth="1"/>
    <col min="7945" max="8192" width="9.140625" style="21"/>
    <col min="8193" max="8193" width="5.85546875" style="21" customWidth="1"/>
    <col min="8194" max="8194" width="33.7109375" style="21" customWidth="1"/>
    <col min="8195" max="8195" width="11.7109375" style="21" customWidth="1"/>
    <col min="8196" max="8196" width="11.42578125" style="21" customWidth="1"/>
    <col min="8197" max="8197" width="11.140625" style="21" customWidth="1"/>
    <col min="8198" max="8198" width="12.7109375" style="21" customWidth="1"/>
    <col min="8199" max="8199" width="11.28515625" style="21" customWidth="1"/>
    <col min="8200" max="8200" width="12.140625" style="21" customWidth="1"/>
    <col min="8201" max="8448" width="9.140625" style="21"/>
    <col min="8449" max="8449" width="5.85546875" style="21" customWidth="1"/>
    <col min="8450" max="8450" width="33.7109375" style="21" customWidth="1"/>
    <col min="8451" max="8451" width="11.7109375" style="21" customWidth="1"/>
    <col min="8452" max="8452" width="11.42578125" style="21" customWidth="1"/>
    <col min="8453" max="8453" width="11.140625" style="21" customWidth="1"/>
    <col min="8454" max="8454" width="12.7109375" style="21" customWidth="1"/>
    <col min="8455" max="8455" width="11.28515625" style="21" customWidth="1"/>
    <col min="8456" max="8456" width="12.140625" style="21" customWidth="1"/>
    <col min="8457" max="8704" width="9.140625" style="21"/>
    <col min="8705" max="8705" width="5.85546875" style="21" customWidth="1"/>
    <col min="8706" max="8706" width="33.7109375" style="21" customWidth="1"/>
    <col min="8707" max="8707" width="11.7109375" style="21" customWidth="1"/>
    <col min="8708" max="8708" width="11.42578125" style="21" customWidth="1"/>
    <col min="8709" max="8709" width="11.140625" style="21" customWidth="1"/>
    <col min="8710" max="8710" width="12.7109375" style="21" customWidth="1"/>
    <col min="8711" max="8711" width="11.28515625" style="21" customWidth="1"/>
    <col min="8712" max="8712" width="12.140625" style="21" customWidth="1"/>
    <col min="8713" max="8960" width="9.140625" style="21"/>
    <col min="8961" max="8961" width="5.85546875" style="21" customWidth="1"/>
    <col min="8962" max="8962" width="33.7109375" style="21" customWidth="1"/>
    <col min="8963" max="8963" width="11.7109375" style="21" customWidth="1"/>
    <col min="8964" max="8964" width="11.42578125" style="21" customWidth="1"/>
    <col min="8965" max="8965" width="11.140625" style="21" customWidth="1"/>
    <col min="8966" max="8966" width="12.7109375" style="21" customWidth="1"/>
    <col min="8967" max="8967" width="11.28515625" style="21" customWidth="1"/>
    <col min="8968" max="8968" width="12.140625" style="21" customWidth="1"/>
    <col min="8969" max="9216" width="9.140625" style="21"/>
    <col min="9217" max="9217" width="5.85546875" style="21" customWidth="1"/>
    <col min="9218" max="9218" width="33.7109375" style="21" customWidth="1"/>
    <col min="9219" max="9219" width="11.7109375" style="21" customWidth="1"/>
    <col min="9220" max="9220" width="11.42578125" style="21" customWidth="1"/>
    <col min="9221" max="9221" width="11.140625" style="21" customWidth="1"/>
    <col min="9222" max="9222" width="12.7109375" style="21" customWidth="1"/>
    <col min="9223" max="9223" width="11.28515625" style="21" customWidth="1"/>
    <col min="9224" max="9224" width="12.140625" style="21" customWidth="1"/>
    <col min="9225" max="9472" width="9.140625" style="21"/>
    <col min="9473" max="9473" width="5.85546875" style="21" customWidth="1"/>
    <col min="9474" max="9474" width="33.7109375" style="21" customWidth="1"/>
    <col min="9475" max="9475" width="11.7109375" style="21" customWidth="1"/>
    <col min="9476" max="9476" width="11.42578125" style="21" customWidth="1"/>
    <col min="9477" max="9477" width="11.140625" style="21" customWidth="1"/>
    <col min="9478" max="9478" width="12.7109375" style="21" customWidth="1"/>
    <col min="9479" max="9479" width="11.28515625" style="21" customWidth="1"/>
    <col min="9480" max="9480" width="12.140625" style="21" customWidth="1"/>
    <col min="9481" max="9728" width="9.140625" style="21"/>
    <col min="9729" max="9729" width="5.85546875" style="21" customWidth="1"/>
    <col min="9730" max="9730" width="33.7109375" style="21" customWidth="1"/>
    <col min="9731" max="9731" width="11.7109375" style="21" customWidth="1"/>
    <col min="9732" max="9732" width="11.42578125" style="21" customWidth="1"/>
    <col min="9733" max="9733" width="11.140625" style="21" customWidth="1"/>
    <col min="9734" max="9734" width="12.7109375" style="21" customWidth="1"/>
    <col min="9735" max="9735" width="11.28515625" style="21" customWidth="1"/>
    <col min="9736" max="9736" width="12.140625" style="21" customWidth="1"/>
    <col min="9737" max="9984" width="9.140625" style="21"/>
    <col min="9985" max="9985" width="5.85546875" style="21" customWidth="1"/>
    <col min="9986" max="9986" width="33.7109375" style="21" customWidth="1"/>
    <col min="9987" max="9987" width="11.7109375" style="21" customWidth="1"/>
    <col min="9988" max="9988" width="11.42578125" style="21" customWidth="1"/>
    <col min="9989" max="9989" width="11.140625" style="21" customWidth="1"/>
    <col min="9990" max="9990" width="12.7109375" style="21" customWidth="1"/>
    <col min="9991" max="9991" width="11.28515625" style="21" customWidth="1"/>
    <col min="9992" max="9992" width="12.140625" style="21" customWidth="1"/>
    <col min="9993" max="10240" width="9.140625" style="21"/>
    <col min="10241" max="10241" width="5.85546875" style="21" customWidth="1"/>
    <col min="10242" max="10242" width="33.7109375" style="21" customWidth="1"/>
    <col min="10243" max="10243" width="11.7109375" style="21" customWidth="1"/>
    <col min="10244" max="10244" width="11.42578125" style="21" customWidth="1"/>
    <col min="10245" max="10245" width="11.140625" style="21" customWidth="1"/>
    <col min="10246" max="10246" width="12.7109375" style="21" customWidth="1"/>
    <col min="10247" max="10247" width="11.28515625" style="21" customWidth="1"/>
    <col min="10248" max="10248" width="12.140625" style="21" customWidth="1"/>
    <col min="10249" max="10496" width="9.140625" style="21"/>
    <col min="10497" max="10497" width="5.85546875" style="21" customWidth="1"/>
    <col min="10498" max="10498" width="33.7109375" style="21" customWidth="1"/>
    <col min="10499" max="10499" width="11.7109375" style="21" customWidth="1"/>
    <col min="10500" max="10500" width="11.42578125" style="21" customWidth="1"/>
    <col min="10501" max="10501" width="11.140625" style="21" customWidth="1"/>
    <col min="10502" max="10502" width="12.7109375" style="21" customWidth="1"/>
    <col min="10503" max="10503" width="11.28515625" style="21" customWidth="1"/>
    <col min="10504" max="10504" width="12.140625" style="21" customWidth="1"/>
    <col min="10505" max="10752" width="9.140625" style="21"/>
    <col min="10753" max="10753" width="5.85546875" style="21" customWidth="1"/>
    <col min="10754" max="10754" width="33.7109375" style="21" customWidth="1"/>
    <col min="10755" max="10755" width="11.7109375" style="21" customWidth="1"/>
    <col min="10756" max="10756" width="11.42578125" style="21" customWidth="1"/>
    <col min="10757" max="10757" width="11.140625" style="21" customWidth="1"/>
    <col min="10758" max="10758" width="12.7109375" style="21" customWidth="1"/>
    <col min="10759" max="10759" width="11.28515625" style="21" customWidth="1"/>
    <col min="10760" max="10760" width="12.140625" style="21" customWidth="1"/>
    <col min="10761" max="11008" width="9.140625" style="21"/>
    <col min="11009" max="11009" width="5.85546875" style="21" customWidth="1"/>
    <col min="11010" max="11010" width="33.7109375" style="21" customWidth="1"/>
    <col min="11011" max="11011" width="11.7109375" style="21" customWidth="1"/>
    <col min="11012" max="11012" width="11.42578125" style="21" customWidth="1"/>
    <col min="11013" max="11013" width="11.140625" style="21" customWidth="1"/>
    <col min="11014" max="11014" width="12.7109375" style="21" customWidth="1"/>
    <col min="11015" max="11015" width="11.28515625" style="21" customWidth="1"/>
    <col min="11016" max="11016" width="12.140625" style="21" customWidth="1"/>
    <col min="11017" max="11264" width="9.140625" style="21"/>
    <col min="11265" max="11265" width="5.85546875" style="21" customWidth="1"/>
    <col min="11266" max="11266" width="33.7109375" style="21" customWidth="1"/>
    <col min="11267" max="11267" width="11.7109375" style="21" customWidth="1"/>
    <col min="11268" max="11268" width="11.42578125" style="21" customWidth="1"/>
    <col min="11269" max="11269" width="11.140625" style="21" customWidth="1"/>
    <col min="11270" max="11270" width="12.7109375" style="21" customWidth="1"/>
    <col min="11271" max="11271" width="11.28515625" style="21" customWidth="1"/>
    <col min="11272" max="11272" width="12.140625" style="21" customWidth="1"/>
    <col min="11273" max="11520" width="9.140625" style="21"/>
    <col min="11521" max="11521" width="5.85546875" style="21" customWidth="1"/>
    <col min="11522" max="11522" width="33.7109375" style="21" customWidth="1"/>
    <col min="11523" max="11523" width="11.7109375" style="21" customWidth="1"/>
    <col min="11524" max="11524" width="11.42578125" style="21" customWidth="1"/>
    <col min="11525" max="11525" width="11.140625" style="21" customWidth="1"/>
    <col min="11526" max="11526" width="12.7109375" style="21" customWidth="1"/>
    <col min="11527" max="11527" width="11.28515625" style="21" customWidth="1"/>
    <col min="11528" max="11528" width="12.140625" style="21" customWidth="1"/>
    <col min="11529" max="11776" width="9.140625" style="21"/>
    <col min="11777" max="11777" width="5.85546875" style="21" customWidth="1"/>
    <col min="11778" max="11778" width="33.7109375" style="21" customWidth="1"/>
    <col min="11779" max="11779" width="11.7109375" style="21" customWidth="1"/>
    <col min="11780" max="11780" width="11.42578125" style="21" customWidth="1"/>
    <col min="11781" max="11781" width="11.140625" style="21" customWidth="1"/>
    <col min="11782" max="11782" width="12.7109375" style="21" customWidth="1"/>
    <col min="11783" max="11783" width="11.28515625" style="21" customWidth="1"/>
    <col min="11784" max="11784" width="12.140625" style="21" customWidth="1"/>
    <col min="11785" max="12032" width="9.140625" style="21"/>
    <col min="12033" max="12033" width="5.85546875" style="21" customWidth="1"/>
    <col min="12034" max="12034" width="33.7109375" style="21" customWidth="1"/>
    <col min="12035" max="12035" width="11.7109375" style="21" customWidth="1"/>
    <col min="12036" max="12036" width="11.42578125" style="21" customWidth="1"/>
    <col min="12037" max="12037" width="11.140625" style="21" customWidth="1"/>
    <col min="12038" max="12038" width="12.7109375" style="21" customWidth="1"/>
    <col min="12039" max="12039" width="11.28515625" style="21" customWidth="1"/>
    <col min="12040" max="12040" width="12.140625" style="21" customWidth="1"/>
    <col min="12041" max="12288" width="9.140625" style="21"/>
    <col min="12289" max="12289" width="5.85546875" style="21" customWidth="1"/>
    <col min="12290" max="12290" width="33.7109375" style="21" customWidth="1"/>
    <col min="12291" max="12291" width="11.7109375" style="21" customWidth="1"/>
    <col min="12292" max="12292" width="11.42578125" style="21" customWidth="1"/>
    <col min="12293" max="12293" width="11.140625" style="21" customWidth="1"/>
    <col min="12294" max="12294" width="12.7109375" style="21" customWidth="1"/>
    <col min="12295" max="12295" width="11.28515625" style="21" customWidth="1"/>
    <col min="12296" max="12296" width="12.140625" style="21" customWidth="1"/>
    <col min="12297" max="12544" width="9.140625" style="21"/>
    <col min="12545" max="12545" width="5.85546875" style="21" customWidth="1"/>
    <col min="12546" max="12546" width="33.7109375" style="21" customWidth="1"/>
    <col min="12547" max="12547" width="11.7109375" style="21" customWidth="1"/>
    <col min="12548" max="12548" width="11.42578125" style="21" customWidth="1"/>
    <col min="12549" max="12549" width="11.140625" style="21" customWidth="1"/>
    <col min="12550" max="12550" width="12.7109375" style="21" customWidth="1"/>
    <col min="12551" max="12551" width="11.28515625" style="21" customWidth="1"/>
    <col min="12552" max="12552" width="12.140625" style="21" customWidth="1"/>
    <col min="12553" max="12800" width="9.140625" style="21"/>
    <col min="12801" max="12801" width="5.85546875" style="21" customWidth="1"/>
    <col min="12802" max="12802" width="33.7109375" style="21" customWidth="1"/>
    <col min="12803" max="12803" width="11.7109375" style="21" customWidth="1"/>
    <col min="12804" max="12804" width="11.42578125" style="21" customWidth="1"/>
    <col min="12805" max="12805" width="11.140625" style="21" customWidth="1"/>
    <col min="12806" max="12806" width="12.7109375" style="21" customWidth="1"/>
    <col min="12807" max="12807" width="11.28515625" style="21" customWidth="1"/>
    <col min="12808" max="12808" width="12.140625" style="21" customWidth="1"/>
    <col min="12809" max="13056" width="9.140625" style="21"/>
    <col min="13057" max="13057" width="5.85546875" style="21" customWidth="1"/>
    <col min="13058" max="13058" width="33.7109375" style="21" customWidth="1"/>
    <col min="13059" max="13059" width="11.7109375" style="21" customWidth="1"/>
    <col min="13060" max="13060" width="11.42578125" style="21" customWidth="1"/>
    <col min="13061" max="13061" width="11.140625" style="21" customWidth="1"/>
    <col min="13062" max="13062" width="12.7109375" style="21" customWidth="1"/>
    <col min="13063" max="13063" width="11.28515625" style="21" customWidth="1"/>
    <col min="13064" max="13064" width="12.140625" style="21" customWidth="1"/>
    <col min="13065" max="13312" width="9.140625" style="21"/>
    <col min="13313" max="13313" width="5.85546875" style="21" customWidth="1"/>
    <col min="13314" max="13314" width="33.7109375" style="21" customWidth="1"/>
    <col min="13315" max="13315" width="11.7109375" style="21" customWidth="1"/>
    <col min="13316" max="13316" width="11.42578125" style="21" customWidth="1"/>
    <col min="13317" max="13317" width="11.140625" style="21" customWidth="1"/>
    <col min="13318" max="13318" width="12.7109375" style="21" customWidth="1"/>
    <col min="13319" max="13319" width="11.28515625" style="21" customWidth="1"/>
    <col min="13320" max="13320" width="12.140625" style="21" customWidth="1"/>
    <col min="13321" max="13568" width="9.140625" style="21"/>
    <col min="13569" max="13569" width="5.85546875" style="21" customWidth="1"/>
    <col min="13570" max="13570" width="33.7109375" style="21" customWidth="1"/>
    <col min="13571" max="13571" width="11.7109375" style="21" customWidth="1"/>
    <col min="13572" max="13572" width="11.42578125" style="21" customWidth="1"/>
    <col min="13573" max="13573" width="11.140625" style="21" customWidth="1"/>
    <col min="13574" max="13574" width="12.7109375" style="21" customWidth="1"/>
    <col min="13575" max="13575" width="11.28515625" style="21" customWidth="1"/>
    <col min="13576" max="13576" width="12.140625" style="21" customWidth="1"/>
    <col min="13577" max="13824" width="9.140625" style="21"/>
    <col min="13825" max="13825" width="5.85546875" style="21" customWidth="1"/>
    <col min="13826" max="13826" width="33.7109375" style="21" customWidth="1"/>
    <col min="13827" max="13827" width="11.7109375" style="21" customWidth="1"/>
    <col min="13828" max="13828" width="11.42578125" style="21" customWidth="1"/>
    <col min="13829" max="13829" width="11.140625" style="21" customWidth="1"/>
    <col min="13830" max="13830" width="12.7109375" style="21" customWidth="1"/>
    <col min="13831" max="13831" width="11.28515625" style="21" customWidth="1"/>
    <col min="13832" max="13832" width="12.140625" style="21" customWidth="1"/>
    <col min="13833" max="14080" width="9.140625" style="21"/>
    <col min="14081" max="14081" width="5.85546875" style="21" customWidth="1"/>
    <col min="14082" max="14082" width="33.7109375" style="21" customWidth="1"/>
    <col min="14083" max="14083" width="11.7109375" style="21" customWidth="1"/>
    <col min="14084" max="14084" width="11.42578125" style="21" customWidth="1"/>
    <col min="14085" max="14085" width="11.140625" style="21" customWidth="1"/>
    <col min="14086" max="14086" width="12.7109375" style="21" customWidth="1"/>
    <col min="14087" max="14087" width="11.28515625" style="21" customWidth="1"/>
    <col min="14088" max="14088" width="12.140625" style="21" customWidth="1"/>
    <col min="14089" max="14336" width="9.140625" style="21"/>
    <col min="14337" max="14337" width="5.85546875" style="21" customWidth="1"/>
    <col min="14338" max="14338" width="33.7109375" style="21" customWidth="1"/>
    <col min="14339" max="14339" width="11.7109375" style="21" customWidth="1"/>
    <col min="14340" max="14340" width="11.42578125" style="21" customWidth="1"/>
    <col min="14341" max="14341" width="11.140625" style="21" customWidth="1"/>
    <col min="14342" max="14342" width="12.7109375" style="21" customWidth="1"/>
    <col min="14343" max="14343" width="11.28515625" style="21" customWidth="1"/>
    <col min="14344" max="14344" width="12.140625" style="21" customWidth="1"/>
    <col min="14345" max="14592" width="9.140625" style="21"/>
    <col min="14593" max="14593" width="5.85546875" style="21" customWidth="1"/>
    <col min="14594" max="14594" width="33.7109375" style="21" customWidth="1"/>
    <col min="14595" max="14595" width="11.7109375" style="21" customWidth="1"/>
    <col min="14596" max="14596" width="11.42578125" style="21" customWidth="1"/>
    <col min="14597" max="14597" width="11.140625" style="21" customWidth="1"/>
    <col min="14598" max="14598" width="12.7109375" style="21" customWidth="1"/>
    <col min="14599" max="14599" width="11.28515625" style="21" customWidth="1"/>
    <col min="14600" max="14600" width="12.140625" style="21" customWidth="1"/>
    <col min="14601" max="14848" width="9.140625" style="21"/>
    <col min="14849" max="14849" width="5.85546875" style="21" customWidth="1"/>
    <col min="14850" max="14850" width="33.7109375" style="21" customWidth="1"/>
    <col min="14851" max="14851" width="11.7109375" style="21" customWidth="1"/>
    <col min="14852" max="14852" width="11.42578125" style="21" customWidth="1"/>
    <col min="14853" max="14853" width="11.140625" style="21" customWidth="1"/>
    <col min="14854" max="14854" width="12.7109375" style="21" customWidth="1"/>
    <col min="14855" max="14855" width="11.28515625" style="21" customWidth="1"/>
    <col min="14856" max="14856" width="12.140625" style="21" customWidth="1"/>
    <col min="14857" max="15104" width="9.140625" style="21"/>
    <col min="15105" max="15105" width="5.85546875" style="21" customWidth="1"/>
    <col min="15106" max="15106" width="33.7109375" style="21" customWidth="1"/>
    <col min="15107" max="15107" width="11.7109375" style="21" customWidth="1"/>
    <col min="15108" max="15108" width="11.42578125" style="21" customWidth="1"/>
    <col min="15109" max="15109" width="11.140625" style="21" customWidth="1"/>
    <col min="15110" max="15110" width="12.7109375" style="21" customWidth="1"/>
    <col min="15111" max="15111" width="11.28515625" style="21" customWidth="1"/>
    <col min="15112" max="15112" width="12.140625" style="21" customWidth="1"/>
    <col min="15113" max="15360" width="9.140625" style="21"/>
    <col min="15361" max="15361" width="5.85546875" style="21" customWidth="1"/>
    <col min="15362" max="15362" width="33.7109375" style="21" customWidth="1"/>
    <col min="15363" max="15363" width="11.7109375" style="21" customWidth="1"/>
    <col min="15364" max="15364" width="11.42578125" style="21" customWidth="1"/>
    <col min="15365" max="15365" width="11.140625" style="21" customWidth="1"/>
    <col min="15366" max="15366" width="12.7109375" style="21" customWidth="1"/>
    <col min="15367" max="15367" width="11.28515625" style="21" customWidth="1"/>
    <col min="15368" max="15368" width="12.140625" style="21" customWidth="1"/>
    <col min="15369" max="15616" width="9.140625" style="21"/>
    <col min="15617" max="15617" width="5.85546875" style="21" customWidth="1"/>
    <col min="15618" max="15618" width="33.7109375" style="21" customWidth="1"/>
    <col min="15619" max="15619" width="11.7109375" style="21" customWidth="1"/>
    <col min="15620" max="15620" width="11.42578125" style="21" customWidth="1"/>
    <col min="15621" max="15621" width="11.140625" style="21" customWidth="1"/>
    <col min="15622" max="15622" width="12.7109375" style="21" customWidth="1"/>
    <col min="15623" max="15623" width="11.28515625" style="21" customWidth="1"/>
    <col min="15624" max="15624" width="12.140625" style="21" customWidth="1"/>
    <col min="15625" max="15872" width="9.140625" style="21"/>
    <col min="15873" max="15873" width="5.85546875" style="21" customWidth="1"/>
    <col min="15874" max="15874" width="33.7109375" style="21" customWidth="1"/>
    <col min="15875" max="15875" width="11.7109375" style="21" customWidth="1"/>
    <col min="15876" max="15876" width="11.42578125" style="21" customWidth="1"/>
    <col min="15877" max="15877" width="11.140625" style="21" customWidth="1"/>
    <col min="15878" max="15878" width="12.7109375" style="21" customWidth="1"/>
    <col min="15879" max="15879" width="11.28515625" style="21" customWidth="1"/>
    <col min="15880" max="15880" width="12.140625" style="21" customWidth="1"/>
    <col min="15881" max="16128" width="9.140625" style="21"/>
    <col min="16129" max="16129" width="5.85546875" style="21" customWidth="1"/>
    <col min="16130" max="16130" width="33.7109375" style="21" customWidth="1"/>
    <col min="16131" max="16131" width="11.7109375" style="21" customWidth="1"/>
    <col min="16132" max="16132" width="11.42578125" style="21" customWidth="1"/>
    <col min="16133" max="16133" width="11.140625" style="21" customWidth="1"/>
    <col min="16134" max="16134" width="12.7109375" style="21" customWidth="1"/>
    <col min="16135" max="16135" width="11.28515625" style="21" customWidth="1"/>
    <col min="16136" max="16136" width="12.140625" style="21" customWidth="1"/>
    <col min="16137" max="16384" width="9.140625" style="21"/>
  </cols>
  <sheetData>
    <row r="1" spans="1:8" ht="28.35" customHeight="1" x14ac:dyDescent="0.2">
      <c r="A1" s="148" t="s">
        <v>0</v>
      </c>
      <c r="B1" s="140"/>
      <c r="C1" s="140"/>
      <c r="D1" s="140"/>
      <c r="E1" s="140"/>
      <c r="F1" s="140"/>
      <c r="G1" s="140"/>
      <c r="H1" s="140"/>
    </row>
    <row r="2" spans="1:8" ht="17.100000000000001" customHeight="1" x14ac:dyDescent="0.2">
      <c r="A2" s="141" t="s">
        <v>441</v>
      </c>
      <c r="B2" s="140"/>
      <c r="C2" s="140"/>
      <c r="D2" s="140"/>
      <c r="E2" s="140"/>
      <c r="F2" s="140"/>
      <c r="G2" s="140"/>
      <c r="H2" s="140"/>
    </row>
    <row r="3" spans="1:8" ht="17.100000000000001" customHeight="1" x14ac:dyDescent="0.2">
      <c r="A3" s="149"/>
      <c r="B3" s="140"/>
      <c r="C3" s="140"/>
      <c r="D3" s="140"/>
      <c r="E3" s="140"/>
      <c r="F3" s="140"/>
      <c r="G3" s="140"/>
      <c r="H3" s="140"/>
    </row>
    <row r="4" spans="1:8" ht="11.45" customHeight="1" x14ac:dyDescent="0.2">
      <c r="A4" s="150" t="s">
        <v>490</v>
      </c>
      <c r="B4" s="146"/>
      <c r="C4" s="151">
        <v>2024</v>
      </c>
      <c r="D4" s="152"/>
      <c r="E4" s="146"/>
      <c r="F4" s="151">
        <v>2023</v>
      </c>
      <c r="G4" s="152"/>
      <c r="H4" s="146"/>
    </row>
    <row r="5" spans="1:8" ht="18" x14ac:dyDescent="0.2">
      <c r="A5" s="22" t="s">
        <v>7</v>
      </c>
      <c r="B5" s="22" t="s">
        <v>8</v>
      </c>
      <c r="C5" s="23" t="s">
        <v>617</v>
      </c>
      <c r="D5" s="23" t="s">
        <v>491</v>
      </c>
      <c r="E5" s="23" t="s">
        <v>492</v>
      </c>
      <c r="F5" s="23" t="s">
        <v>444</v>
      </c>
      <c r="G5" s="23" t="s">
        <v>491</v>
      </c>
      <c r="H5" s="23" t="s">
        <v>493</v>
      </c>
    </row>
    <row r="6" spans="1:8" x14ac:dyDescent="0.2">
      <c r="A6" s="26" t="s">
        <v>202</v>
      </c>
      <c r="B6" s="26" t="s">
        <v>203</v>
      </c>
      <c r="C6" s="26"/>
      <c r="D6" s="26"/>
      <c r="E6" s="26"/>
      <c r="F6" s="26"/>
      <c r="G6" s="26"/>
      <c r="H6" s="26"/>
    </row>
    <row r="7" spans="1:8" x14ac:dyDescent="0.2">
      <c r="A7" s="27" t="s">
        <v>494</v>
      </c>
      <c r="B7" s="27" t="s">
        <v>495</v>
      </c>
      <c r="C7" s="27"/>
      <c r="D7" s="27"/>
      <c r="E7" s="27"/>
      <c r="F7" s="27"/>
      <c r="G7" s="27"/>
      <c r="H7" s="27"/>
    </row>
    <row r="8" spans="1:8" x14ac:dyDescent="0.2">
      <c r="A8" s="28" t="s">
        <v>496</v>
      </c>
      <c r="B8" s="28" t="s">
        <v>205</v>
      </c>
      <c r="C8" s="34">
        <v>9891</v>
      </c>
      <c r="D8" s="29">
        <f>'Stampa rendiconto PI - USC '!$K$13</f>
        <v>362711</v>
      </c>
      <c r="E8" s="29">
        <f>'Stampa rendiconto PII - USCITE'!L13</f>
        <v>370484</v>
      </c>
      <c r="F8" s="29">
        <v>9891</v>
      </c>
      <c r="G8" s="29">
        <v>351175</v>
      </c>
      <c r="H8" s="29">
        <v>355422</v>
      </c>
    </row>
    <row r="9" spans="1:8" ht="16.5" x14ac:dyDescent="0.2">
      <c r="A9" s="28" t="s">
        <v>497</v>
      </c>
      <c r="B9" s="28" t="s">
        <v>214</v>
      </c>
      <c r="C9" s="34">
        <v>307658</v>
      </c>
      <c r="D9" s="29">
        <f>'Stampa rendiconto PI - USC '!$K$24</f>
        <v>6219583</v>
      </c>
      <c r="E9" s="29">
        <f>'Stampa rendiconto PII - USCITE'!L24</f>
        <v>6047285</v>
      </c>
      <c r="F9" s="29">
        <v>307658</v>
      </c>
      <c r="G9" s="29">
        <v>5833987</v>
      </c>
      <c r="H9" s="29">
        <v>5571152</v>
      </c>
    </row>
    <row r="10" spans="1:8" ht="16.5" x14ac:dyDescent="0.2">
      <c r="A10" s="28" t="s">
        <v>498</v>
      </c>
      <c r="B10" s="28" t="s">
        <v>235</v>
      </c>
      <c r="C10" s="34">
        <v>162228</v>
      </c>
      <c r="D10" s="29">
        <f>'Stampa rendiconto PI - USC '!$K$44</f>
        <v>559481</v>
      </c>
      <c r="E10" s="29">
        <f>'Stampa rendiconto PII - USCITE'!L44</f>
        <v>451308</v>
      </c>
      <c r="F10" s="29">
        <v>162228</v>
      </c>
      <c r="G10" s="29">
        <v>561818</v>
      </c>
      <c r="H10" s="29">
        <v>540748</v>
      </c>
    </row>
    <row r="11" spans="1:8" x14ac:dyDescent="0.2">
      <c r="A11" s="147" t="s">
        <v>499</v>
      </c>
      <c r="B11" s="146"/>
      <c r="C11" s="33">
        <f t="shared" ref="C11:E11" si="0">SUM(C8:C10)</f>
        <v>479777</v>
      </c>
      <c r="D11" s="30">
        <f t="shared" si="0"/>
        <v>7141775</v>
      </c>
      <c r="E11" s="30">
        <f t="shared" si="0"/>
        <v>6869077</v>
      </c>
      <c r="F11" s="30">
        <v>479777</v>
      </c>
      <c r="G11" s="30">
        <v>6746980</v>
      </c>
      <c r="H11" s="30">
        <v>6467322</v>
      </c>
    </row>
    <row r="12" spans="1:8" x14ac:dyDescent="0.2">
      <c r="A12" s="27" t="s">
        <v>500</v>
      </c>
      <c r="B12" s="27" t="s">
        <v>501</v>
      </c>
      <c r="C12" s="27"/>
      <c r="D12" s="27"/>
      <c r="E12" s="27"/>
      <c r="F12" s="27"/>
      <c r="G12" s="27"/>
      <c r="H12" s="27"/>
    </row>
    <row r="13" spans="1:8" x14ac:dyDescent="0.2">
      <c r="A13" s="28" t="s">
        <v>502</v>
      </c>
      <c r="B13" s="28" t="s">
        <v>274</v>
      </c>
      <c r="C13" s="34">
        <v>1775871</v>
      </c>
      <c r="D13" s="29">
        <f>'Stampa rendiconto PI - USC '!$K$51</f>
        <v>5922216</v>
      </c>
      <c r="E13" s="29">
        <f>'Stampa rendiconto PII - USCITE'!L51</f>
        <v>4805635</v>
      </c>
      <c r="F13" s="29">
        <v>1775871</v>
      </c>
      <c r="G13" s="29">
        <v>4417189</v>
      </c>
      <c r="H13" s="29">
        <v>4772368</v>
      </c>
    </row>
    <row r="14" spans="1:8" x14ac:dyDescent="0.2">
      <c r="A14" s="28" t="s">
        <v>503</v>
      </c>
      <c r="B14" s="28" t="s">
        <v>287</v>
      </c>
      <c r="C14" s="34">
        <v>164264</v>
      </c>
      <c r="D14" s="29">
        <f>'Stampa rendiconto PI - USC '!$K$56</f>
        <v>434020</v>
      </c>
      <c r="E14" s="29">
        <f>'Stampa rendiconto PII - USCITE'!L56</f>
        <v>364372</v>
      </c>
      <c r="F14" s="29">
        <v>164264</v>
      </c>
      <c r="G14" s="29">
        <v>523000</v>
      </c>
      <c r="H14" s="29">
        <v>380143</v>
      </c>
    </row>
    <row r="15" spans="1:8" x14ac:dyDescent="0.2">
      <c r="A15" s="28" t="s">
        <v>504</v>
      </c>
      <c r="B15" s="28" t="s">
        <v>296</v>
      </c>
      <c r="C15" s="34">
        <v>155</v>
      </c>
      <c r="D15" s="29">
        <f>'Stampa rendiconto PI - USC '!$K$59</f>
        <v>24000</v>
      </c>
      <c r="E15" s="29">
        <f>'Stampa rendiconto PII - USCITE'!L59</f>
        <v>23964</v>
      </c>
      <c r="F15" s="29">
        <v>155</v>
      </c>
      <c r="G15" s="29">
        <v>15572</v>
      </c>
      <c r="H15" s="29">
        <v>19354</v>
      </c>
    </row>
    <row r="16" spans="1:8" x14ac:dyDescent="0.2">
      <c r="A16" s="28" t="s">
        <v>505</v>
      </c>
      <c r="B16" s="28" t="s">
        <v>301</v>
      </c>
      <c r="C16" s="34">
        <v>42354</v>
      </c>
      <c r="D16" s="29">
        <f>'Stampa rendiconto PI - USC '!$K$62</f>
        <v>1080078</v>
      </c>
      <c r="E16" s="29">
        <f>'Stampa rendiconto PII - USCITE'!L62</f>
        <v>1068236</v>
      </c>
      <c r="F16" s="29">
        <v>42354</v>
      </c>
      <c r="G16" s="29">
        <v>1017097</v>
      </c>
      <c r="H16" s="29">
        <v>976938</v>
      </c>
    </row>
    <row r="17" spans="1:10" ht="16.5" x14ac:dyDescent="0.2">
      <c r="A17" s="28" t="s">
        <v>506</v>
      </c>
      <c r="B17" s="28" t="s">
        <v>306</v>
      </c>
      <c r="C17" s="34">
        <v>0</v>
      </c>
      <c r="D17" s="29">
        <f>'Stampa rendiconto PI - USC '!$K$65</f>
        <v>0</v>
      </c>
      <c r="E17" s="29">
        <f>'Stampa rendiconto PII - USCITE'!L65</f>
        <v>0</v>
      </c>
      <c r="F17" s="29">
        <v>0</v>
      </c>
      <c r="G17" s="29">
        <v>0</v>
      </c>
      <c r="H17" s="29">
        <v>25368</v>
      </c>
    </row>
    <row r="18" spans="1:10" ht="16.5" x14ac:dyDescent="0.2">
      <c r="A18" s="28" t="s">
        <v>507</v>
      </c>
      <c r="B18" s="28" t="s">
        <v>311</v>
      </c>
      <c r="C18" s="34">
        <v>104748</v>
      </c>
      <c r="D18" s="29">
        <f>'Stampa rendiconto PI - USC '!$K$71</f>
        <v>308863</v>
      </c>
      <c r="E18" s="29">
        <f>'Stampa rendiconto PII - USCITE'!L71</f>
        <v>328696</v>
      </c>
      <c r="F18" s="29">
        <v>104748</v>
      </c>
      <c r="G18" s="29">
        <v>308863</v>
      </c>
      <c r="H18" s="29">
        <v>310381</v>
      </c>
    </row>
    <row r="19" spans="1:10" x14ac:dyDescent="0.2">
      <c r="A19" s="147" t="s">
        <v>508</v>
      </c>
      <c r="B19" s="146"/>
      <c r="C19" s="30">
        <f t="shared" ref="C19:E19" si="1">SUM(C13:C18)</f>
        <v>2087392</v>
      </c>
      <c r="D19" s="30">
        <f t="shared" si="1"/>
        <v>7769177</v>
      </c>
      <c r="E19" s="30">
        <f t="shared" si="1"/>
        <v>6590903</v>
      </c>
      <c r="F19" s="30">
        <v>2087392</v>
      </c>
      <c r="G19" s="30">
        <v>6281721</v>
      </c>
      <c r="H19" s="30">
        <v>6484552</v>
      </c>
      <c r="J19" s="37"/>
    </row>
    <row r="20" spans="1:10" ht="16.5" x14ac:dyDescent="0.2">
      <c r="A20" s="27" t="s">
        <v>509</v>
      </c>
      <c r="B20" s="27" t="s">
        <v>510</v>
      </c>
      <c r="C20" s="27"/>
      <c r="D20" s="27"/>
      <c r="E20" s="27"/>
      <c r="F20" s="27"/>
      <c r="G20" s="27"/>
      <c r="H20" s="27"/>
    </row>
    <row r="21" spans="1:10" ht="16.5" x14ac:dyDescent="0.2">
      <c r="A21" s="28" t="s">
        <v>511</v>
      </c>
      <c r="B21" s="28" t="s">
        <v>322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</row>
    <row r="22" spans="1:10" ht="16.5" x14ac:dyDescent="0.2">
      <c r="A22" s="28" t="s">
        <v>512</v>
      </c>
      <c r="B22" s="28" t="s">
        <v>327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</row>
    <row r="23" spans="1:10" x14ac:dyDescent="0.2">
      <c r="A23" s="147" t="s">
        <v>513</v>
      </c>
      <c r="B23" s="146"/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10" ht="16.5" x14ac:dyDescent="0.2">
      <c r="A24" s="27" t="s">
        <v>514</v>
      </c>
      <c r="B24" s="27" t="s">
        <v>515</v>
      </c>
      <c r="C24" s="27"/>
      <c r="D24" s="27"/>
      <c r="E24" s="27"/>
      <c r="F24" s="27"/>
      <c r="G24" s="27"/>
      <c r="H24" s="27"/>
    </row>
    <row r="25" spans="1:10" x14ac:dyDescent="0.2">
      <c r="A25" s="28" t="s">
        <v>516</v>
      </c>
      <c r="B25" s="28" t="s">
        <v>332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</row>
    <row r="26" spans="1:10" x14ac:dyDescent="0.2">
      <c r="A26" s="147" t="s">
        <v>517</v>
      </c>
      <c r="B26" s="146"/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</row>
    <row r="27" spans="1:10" ht="16.5" x14ac:dyDescent="0.2">
      <c r="A27" s="27" t="s">
        <v>518</v>
      </c>
      <c r="B27" s="27" t="s">
        <v>519</v>
      </c>
      <c r="C27" s="27"/>
      <c r="D27" s="27"/>
      <c r="E27" s="27"/>
      <c r="F27" s="27"/>
      <c r="G27" s="27"/>
      <c r="H27" s="27"/>
    </row>
    <row r="28" spans="1:10" x14ac:dyDescent="0.2">
      <c r="A28" s="147" t="s">
        <v>520</v>
      </c>
      <c r="B28" s="146"/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</row>
    <row r="29" spans="1:10" x14ac:dyDescent="0.2">
      <c r="A29" s="147" t="s">
        <v>521</v>
      </c>
      <c r="B29" s="146"/>
      <c r="C29" s="30">
        <f>C11+C19</f>
        <v>2567169</v>
      </c>
      <c r="D29" s="30">
        <f>D11+D19</f>
        <v>14910952</v>
      </c>
      <c r="E29" s="30">
        <f>E11+E19</f>
        <v>13459980</v>
      </c>
      <c r="F29" s="30">
        <v>2567169</v>
      </c>
      <c r="G29" s="30">
        <v>13028701</v>
      </c>
      <c r="H29" s="30">
        <v>12951874</v>
      </c>
    </row>
    <row r="30" spans="1:10" ht="16.5" x14ac:dyDescent="0.2">
      <c r="A30" s="26" t="s">
        <v>342</v>
      </c>
      <c r="B30" s="26" t="s">
        <v>343</v>
      </c>
      <c r="C30" s="26"/>
      <c r="D30" s="26"/>
      <c r="E30" s="26"/>
      <c r="F30" s="26"/>
      <c r="G30" s="26"/>
      <c r="H30" s="26"/>
    </row>
    <row r="31" spans="1:10" x14ac:dyDescent="0.2">
      <c r="A31" s="27" t="s">
        <v>522</v>
      </c>
      <c r="B31" s="27" t="s">
        <v>523</v>
      </c>
      <c r="C31" s="27"/>
      <c r="D31" s="27"/>
      <c r="E31" s="27"/>
      <c r="F31" s="27"/>
      <c r="G31" s="27"/>
      <c r="H31" s="27"/>
    </row>
    <row r="32" spans="1:10" ht="16.5" x14ac:dyDescent="0.2">
      <c r="A32" s="28" t="s">
        <v>524</v>
      </c>
      <c r="B32" s="28" t="s">
        <v>345</v>
      </c>
      <c r="C32" s="34">
        <v>53358879</v>
      </c>
      <c r="D32" s="29">
        <f>'Stampa rendiconto PI - USC '!$K$91</f>
        <v>86970556</v>
      </c>
      <c r="E32" s="29">
        <f>'Stampa rendiconto PII - USCITE'!L91</f>
        <v>28739047</v>
      </c>
      <c r="F32" s="29">
        <v>53358879</v>
      </c>
      <c r="G32" s="29">
        <v>40706775</v>
      </c>
      <c r="H32" s="29">
        <v>22048170</v>
      </c>
    </row>
    <row r="33" spans="1:8" ht="16.5" x14ac:dyDescent="0.2">
      <c r="A33" s="28" t="s">
        <v>525</v>
      </c>
      <c r="B33" s="28" t="s">
        <v>356</v>
      </c>
      <c r="C33" s="34">
        <v>821951</v>
      </c>
      <c r="D33" s="29">
        <f>'Stampa rendiconto PI - USC '!$K$98</f>
        <v>3383052</v>
      </c>
      <c r="E33" s="29">
        <f>'Stampa rendiconto PII - USCITE'!L98</f>
        <v>2594255</v>
      </c>
      <c r="F33" s="29">
        <v>821951</v>
      </c>
      <c r="G33" s="29">
        <v>1216266</v>
      </c>
      <c r="H33" s="29">
        <v>1577474</v>
      </c>
    </row>
    <row r="34" spans="1:8" ht="24.75" x14ac:dyDescent="0.2">
      <c r="A34" s="28" t="s">
        <v>526</v>
      </c>
      <c r="B34" s="28" t="s">
        <v>527</v>
      </c>
      <c r="C34" s="34">
        <v>3700453</v>
      </c>
      <c r="D34" s="29">
        <f>'Stampa rendiconto PI - USC '!$K$102</f>
        <v>61152</v>
      </c>
      <c r="E34" s="29">
        <f>'Stampa rendiconto PII - USCITE'!L102</f>
        <v>134002</v>
      </c>
      <c r="F34" s="29">
        <v>3700453</v>
      </c>
      <c r="G34" s="29">
        <v>307284</v>
      </c>
      <c r="H34" s="29">
        <v>668515</v>
      </c>
    </row>
    <row r="35" spans="1:8" ht="16.5" x14ac:dyDescent="0.2">
      <c r="A35" s="28" t="s">
        <v>528</v>
      </c>
      <c r="B35" s="28" t="s">
        <v>376</v>
      </c>
      <c r="C35" s="34">
        <v>0</v>
      </c>
      <c r="D35" s="29">
        <f>'Stampa rendiconto PI - USC '!K107</f>
        <v>3500</v>
      </c>
      <c r="E35" s="29">
        <f>'Stampa rendiconto PII - USCITE'!K107</f>
        <v>3500</v>
      </c>
      <c r="F35" s="29">
        <v>0</v>
      </c>
      <c r="G35" s="29">
        <v>0</v>
      </c>
      <c r="H35" s="29">
        <v>0</v>
      </c>
    </row>
    <row r="36" spans="1:8" ht="16.5" x14ac:dyDescent="0.2">
      <c r="A36" s="28" t="s">
        <v>529</v>
      </c>
      <c r="B36" s="28" t="s">
        <v>385</v>
      </c>
      <c r="C36" s="34">
        <v>10948</v>
      </c>
      <c r="D36" s="29">
        <f>'Stampa rendiconto PI - USC '!$K$112</f>
        <v>264445</v>
      </c>
      <c r="E36" s="29">
        <f>'Stampa rendiconto PII - USCITE'!L112</f>
        <v>255465</v>
      </c>
      <c r="F36" s="29">
        <v>10948</v>
      </c>
      <c r="G36" s="29">
        <v>203443</v>
      </c>
      <c r="H36" s="29">
        <v>192495</v>
      </c>
    </row>
    <row r="37" spans="1:8" x14ac:dyDescent="0.2">
      <c r="A37" s="147" t="s">
        <v>530</v>
      </c>
      <c r="B37" s="146"/>
      <c r="C37" s="30">
        <f t="shared" ref="C37:E37" si="2">SUM(C32:C36)</f>
        <v>57892231</v>
      </c>
      <c r="D37" s="30">
        <f t="shared" si="2"/>
        <v>90682705</v>
      </c>
      <c r="E37" s="30">
        <f t="shared" si="2"/>
        <v>31726269</v>
      </c>
      <c r="F37" s="30">
        <v>57892231</v>
      </c>
      <c r="G37" s="30">
        <v>42433768</v>
      </c>
      <c r="H37" s="30">
        <v>24486654</v>
      </c>
    </row>
    <row r="38" spans="1:8" x14ac:dyDescent="0.2">
      <c r="A38" s="27" t="s">
        <v>531</v>
      </c>
      <c r="B38" s="27" t="s">
        <v>532</v>
      </c>
      <c r="C38" s="27"/>
      <c r="D38" s="27"/>
      <c r="E38" s="27"/>
      <c r="F38" s="27"/>
      <c r="G38" s="27"/>
      <c r="H38" s="27"/>
    </row>
    <row r="39" spans="1:8" x14ac:dyDescent="0.2">
      <c r="A39" s="28" t="s">
        <v>533</v>
      </c>
      <c r="B39" s="28" t="s">
        <v>394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</row>
    <row r="40" spans="1:8" x14ac:dyDescent="0.2">
      <c r="A40" s="28" t="s">
        <v>534</v>
      </c>
      <c r="B40" s="28" t="s">
        <v>401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</row>
    <row r="41" spans="1:8" x14ac:dyDescent="0.2">
      <c r="A41" s="28" t="s">
        <v>535</v>
      </c>
      <c r="B41" s="28" t="s">
        <v>406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</row>
    <row r="42" spans="1:8" ht="16.5" x14ac:dyDescent="0.2">
      <c r="A42" s="28" t="s">
        <v>536</v>
      </c>
      <c r="B42" s="28" t="s">
        <v>411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</row>
    <row r="43" spans="1:8" x14ac:dyDescent="0.2">
      <c r="A43" s="28" t="s">
        <v>537</v>
      </c>
      <c r="B43" s="28" t="s">
        <v>416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</row>
    <row r="44" spans="1:8" x14ac:dyDescent="0.2">
      <c r="A44" s="147" t="s">
        <v>538</v>
      </c>
      <c r="B44" s="146"/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</row>
    <row r="45" spans="1:8" x14ac:dyDescent="0.2">
      <c r="A45" s="147" t="s">
        <v>539</v>
      </c>
      <c r="B45" s="146"/>
      <c r="C45" s="30">
        <f>C37</f>
        <v>57892231</v>
      </c>
      <c r="D45" s="30">
        <f>D37</f>
        <v>90682705</v>
      </c>
      <c r="E45" s="30">
        <f>E37</f>
        <v>31726269</v>
      </c>
      <c r="F45" s="30">
        <v>57892231</v>
      </c>
      <c r="G45" s="30">
        <v>42433768</v>
      </c>
      <c r="H45" s="30">
        <v>24486654</v>
      </c>
    </row>
    <row r="46" spans="1:8" x14ac:dyDescent="0.2">
      <c r="A46" s="26" t="s">
        <v>421</v>
      </c>
      <c r="B46" s="26" t="s">
        <v>422</v>
      </c>
      <c r="C46" s="26"/>
      <c r="D46" s="26"/>
      <c r="E46" s="26"/>
      <c r="F46" s="26"/>
      <c r="G46" s="26"/>
      <c r="H46" s="26"/>
    </row>
    <row r="47" spans="1:8" ht="16.5" x14ac:dyDescent="0.2">
      <c r="A47" s="27" t="s">
        <v>540</v>
      </c>
      <c r="B47" s="27" t="s">
        <v>541</v>
      </c>
      <c r="C47" s="27"/>
      <c r="D47" s="27"/>
      <c r="E47" s="27"/>
      <c r="F47" s="27"/>
      <c r="G47" s="27"/>
      <c r="H47" s="27"/>
    </row>
    <row r="48" spans="1:8" ht="16.5" x14ac:dyDescent="0.2">
      <c r="A48" s="28" t="s">
        <v>542</v>
      </c>
      <c r="B48" s="28" t="s">
        <v>424</v>
      </c>
      <c r="C48" s="34">
        <v>519318</v>
      </c>
      <c r="D48" s="29">
        <f>'Stampa rendiconto PI - USC '!$K$141</f>
        <v>4057261</v>
      </c>
      <c r="E48" s="29">
        <f>'Stampa rendiconto PII - USCITE'!L141</f>
        <v>4280642</v>
      </c>
      <c r="F48" s="29">
        <v>519318</v>
      </c>
      <c r="G48" s="29">
        <v>3888060</v>
      </c>
      <c r="H48" s="29">
        <v>3675810</v>
      </c>
    </row>
    <row r="49" spans="1:9" x14ac:dyDescent="0.2">
      <c r="A49" s="147" t="s">
        <v>543</v>
      </c>
      <c r="B49" s="146"/>
      <c r="C49" s="30">
        <f t="shared" ref="C49:E50" si="3">C48</f>
        <v>519318</v>
      </c>
      <c r="D49" s="30">
        <f t="shared" si="3"/>
        <v>4057261</v>
      </c>
      <c r="E49" s="30">
        <f t="shared" si="3"/>
        <v>4280642</v>
      </c>
      <c r="F49" s="30">
        <v>519318</v>
      </c>
      <c r="G49" s="30">
        <v>3888060</v>
      </c>
      <c r="H49" s="30">
        <v>3675810</v>
      </c>
    </row>
    <row r="50" spans="1:9" x14ac:dyDescent="0.2">
      <c r="A50" s="147" t="s">
        <v>544</v>
      </c>
      <c r="B50" s="146"/>
      <c r="C50" s="30">
        <f t="shared" si="3"/>
        <v>519318</v>
      </c>
      <c r="D50" s="30">
        <f t="shared" si="3"/>
        <v>4057261</v>
      </c>
      <c r="E50" s="30">
        <f t="shared" si="3"/>
        <v>4280642</v>
      </c>
      <c r="F50" s="30">
        <v>519318</v>
      </c>
      <c r="G50" s="30">
        <v>3888060</v>
      </c>
      <c r="H50" s="30">
        <v>3675810</v>
      </c>
    </row>
    <row r="51" spans="1:9" x14ac:dyDescent="0.2">
      <c r="A51" s="145" t="s">
        <v>545</v>
      </c>
      <c r="B51" s="146"/>
      <c r="C51" s="38">
        <f t="shared" ref="C51:E51" si="4">C29+C45+C50</f>
        <v>60978718</v>
      </c>
      <c r="D51" s="38">
        <f t="shared" si="4"/>
        <v>109650918</v>
      </c>
      <c r="E51" s="38">
        <f t="shared" si="4"/>
        <v>49466891</v>
      </c>
      <c r="F51" s="38">
        <v>60978718</v>
      </c>
      <c r="G51" s="38">
        <v>59350529</v>
      </c>
      <c r="H51" s="38">
        <v>41114338</v>
      </c>
      <c r="I51" s="37"/>
    </row>
  </sheetData>
  <mergeCells count="18">
    <mergeCell ref="A1:H1"/>
    <mergeCell ref="A2:H2"/>
    <mergeCell ref="A3:H3"/>
    <mergeCell ref="A4:B4"/>
    <mergeCell ref="C4:E4"/>
    <mergeCell ref="F4:H4"/>
    <mergeCell ref="A51:B51"/>
    <mergeCell ref="A11:B11"/>
    <mergeCell ref="A19:B19"/>
    <mergeCell ref="A23:B23"/>
    <mergeCell ref="A26:B26"/>
    <mergeCell ref="A28:B28"/>
    <mergeCell ref="A29:B29"/>
    <mergeCell ref="A37:B37"/>
    <mergeCell ref="A44:B44"/>
    <mergeCell ref="A45:B45"/>
    <mergeCell ref="A49:B49"/>
    <mergeCell ref="A50:B50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E1854-66C7-4ABC-878F-97AF3CB5FCEE}">
  <dimension ref="A1:H47"/>
  <sheetViews>
    <sheetView showGridLines="0" topLeftCell="B23" zoomScale="148" zoomScaleNormal="148" workbookViewId="0">
      <selection activeCell="E31" sqref="E31"/>
    </sheetView>
  </sheetViews>
  <sheetFormatPr defaultRowHeight="12.75" x14ac:dyDescent="0.2"/>
  <cols>
    <col min="1" max="1" width="5.85546875" style="21" customWidth="1"/>
    <col min="2" max="2" width="33.7109375" style="21" customWidth="1"/>
    <col min="3" max="3" width="11.85546875" style="21" bestFit="1" customWidth="1"/>
    <col min="4" max="4" width="12.140625" style="21" customWidth="1"/>
    <col min="5" max="5" width="11.5703125" style="21" customWidth="1"/>
    <col min="6" max="6" width="12.5703125" style="36" bestFit="1" customWidth="1"/>
    <col min="7" max="7" width="12.140625" style="21" customWidth="1"/>
    <col min="8" max="8" width="12" style="21" customWidth="1"/>
    <col min="9" max="256" width="9.140625" style="21"/>
    <col min="257" max="257" width="5.85546875" style="21" customWidth="1"/>
    <col min="258" max="258" width="33.7109375" style="21" customWidth="1"/>
    <col min="259" max="259" width="11.85546875" style="21" bestFit="1" customWidth="1"/>
    <col min="260" max="260" width="12.140625" style="21" customWidth="1"/>
    <col min="261" max="261" width="11.5703125" style="21" customWidth="1"/>
    <col min="262" max="262" width="12.5703125" style="21" bestFit="1" customWidth="1"/>
    <col min="263" max="263" width="12.140625" style="21" customWidth="1"/>
    <col min="264" max="264" width="12" style="21" customWidth="1"/>
    <col min="265" max="512" width="9.140625" style="21"/>
    <col min="513" max="513" width="5.85546875" style="21" customWidth="1"/>
    <col min="514" max="514" width="33.7109375" style="21" customWidth="1"/>
    <col min="515" max="515" width="11.85546875" style="21" bestFit="1" customWidth="1"/>
    <col min="516" max="516" width="12.140625" style="21" customWidth="1"/>
    <col min="517" max="517" width="11.5703125" style="21" customWidth="1"/>
    <col min="518" max="518" width="12.5703125" style="21" bestFit="1" customWidth="1"/>
    <col min="519" max="519" width="12.140625" style="21" customWidth="1"/>
    <col min="520" max="520" width="12" style="21" customWidth="1"/>
    <col min="521" max="768" width="9.140625" style="21"/>
    <col min="769" max="769" width="5.85546875" style="21" customWidth="1"/>
    <col min="770" max="770" width="33.7109375" style="21" customWidth="1"/>
    <col min="771" max="771" width="11.85546875" style="21" bestFit="1" customWidth="1"/>
    <col min="772" max="772" width="12.140625" style="21" customWidth="1"/>
    <col min="773" max="773" width="11.5703125" style="21" customWidth="1"/>
    <col min="774" max="774" width="12.5703125" style="21" bestFit="1" customWidth="1"/>
    <col min="775" max="775" width="12.140625" style="21" customWidth="1"/>
    <col min="776" max="776" width="12" style="21" customWidth="1"/>
    <col min="777" max="1024" width="9.140625" style="21"/>
    <col min="1025" max="1025" width="5.85546875" style="21" customWidth="1"/>
    <col min="1026" max="1026" width="33.7109375" style="21" customWidth="1"/>
    <col min="1027" max="1027" width="11.85546875" style="21" bestFit="1" customWidth="1"/>
    <col min="1028" max="1028" width="12.140625" style="21" customWidth="1"/>
    <col min="1029" max="1029" width="11.5703125" style="21" customWidth="1"/>
    <col min="1030" max="1030" width="12.5703125" style="21" bestFit="1" customWidth="1"/>
    <col min="1031" max="1031" width="12.140625" style="21" customWidth="1"/>
    <col min="1032" max="1032" width="12" style="21" customWidth="1"/>
    <col min="1033" max="1280" width="9.140625" style="21"/>
    <col min="1281" max="1281" width="5.85546875" style="21" customWidth="1"/>
    <col min="1282" max="1282" width="33.7109375" style="21" customWidth="1"/>
    <col min="1283" max="1283" width="11.85546875" style="21" bestFit="1" customWidth="1"/>
    <col min="1284" max="1284" width="12.140625" style="21" customWidth="1"/>
    <col min="1285" max="1285" width="11.5703125" style="21" customWidth="1"/>
    <col min="1286" max="1286" width="12.5703125" style="21" bestFit="1" customWidth="1"/>
    <col min="1287" max="1287" width="12.140625" style="21" customWidth="1"/>
    <col min="1288" max="1288" width="12" style="21" customWidth="1"/>
    <col min="1289" max="1536" width="9.140625" style="21"/>
    <col min="1537" max="1537" width="5.85546875" style="21" customWidth="1"/>
    <col min="1538" max="1538" width="33.7109375" style="21" customWidth="1"/>
    <col min="1539" max="1539" width="11.85546875" style="21" bestFit="1" customWidth="1"/>
    <col min="1540" max="1540" width="12.140625" style="21" customWidth="1"/>
    <col min="1541" max="1541" width="11.5703125" style="21" customWidth="1"/>
    <col min="1542" max="1542" width="12.5703125" style="21" bestFit="1" customWidth="1"/>
    <col min="1543" max="1543" width="12.140625" style="21" customWidth="1"/>
    <col min="1544" max="1544" width="12" style="21" customWidth="1"/>
    <col min="1545" max="1792" width="9.140625" style="21"/>
    <col min="1793" max="1793" width="5.85546875" style="21" customWidth="1"/>
    <col min="1794" max="1794" width="33.7109375" style="21" customWidth="1"/>
    <col min="1795" max="1795" width="11.85546875" style="21" bestFit="1" customWidth="1"/>
    <col min="1796" max="1796" width="12.140625" style="21" customWidth="1"/>
    <col min="1797" max="1797" width="11.5703125" style="21" customWidth="1"/>
    <col min="1798" max="1798" width="12.5703125" style="21" bestFit="1" customWidth="1"/>
    <col min="1799" max="1799" width="12.140625" style="21" customWidth="1"/>
    <col min="1800" max="1800" width="12" style="21" customWidth="1"/>
    <col min="1801" max="2048" width="9.140625" style="21"/>
    <col min="2049" max="2049" width="5.85546875" style="21" customWidth="1"/>
    <col min="2050" max="2050" width="33.7109375" style="21" customWidth="1"/>
    <col min="2051" max="2051" width="11.85546875" style="21" bestFit="1" customWidth="1"/>
    <col min="2052" max="2052" width="12.140625" style="21" customWidth="1"/>
    <col min="2053" max="2053" width="11.5703125" style="21" customWidth="1"/>
    <col min="2054" max="2054" width="12.5703125" style="21" bestFit="1" customWidth="1"/>
    <col min="2055" max="2055" width="12.140625" style="21" customWidth="1"/>
    <col min="2056" max="2056" width="12" style="21" customWidth="1"/>
    <col min="2057" max="2304" width="9.140625" style="21"/>
    <col min="2305" max="2305" width="5.85546875" style="21" customWidth="1"/>
    <col min="2306" max="2306" width="33.7109375" style="21" customWidth="1"/>
    <col min="2307" max="2307" width="11.85546875" style="21" bestFit="1" customWidth="1"/>
    <col min="2308" max="2308" width="12.140625" style="21" customWidth="1"/>
    <col min="2309" max="2309" width="11.5703125" style="21" customWidth="1"/>
    <col min="2310" max="2310" width="12.5703125" style="21" bestFit="1" customWidth="1"/>
    <col min="2311" max="2311" width="12.140625" style="21" customWidth="1"/>
    <col min="2312" max="2312" width="12" style="21" customWidth="1"/>
    <col min="2313" max="2560" width="9.140625" style="21"/>
    <col min="2561" max="2561" width="5.85546875" style="21" customWidth="1"/>
    <col min="2562" max="2562" width="33.7109375" style="21" customWidth="1"/>
    <col min="2563" max="2563" width="11.85546875" style="21" bestFit="1" customWidth="1"/>
    <col min="2564" max="2564" width="12.140625" style="21" customWidth="1"/>
    <col min="2565" max="2565" width="11.5703125" style="21" customWidth="1"/>
    <col min="2566" max="2566" width="12.5703125" style="21" bestFit="1" customWidth="1"/>
    <col min="2567" max="2567" width="12.140625" style="21" customWidth="1"/>
    <col min="2568" max="2568" width="12" style="21" customWidth="1"/>
    <col min="2569" max="2816" width="9.140625" style="21"/>
    <col min="2817" max="2817" width="5.85546875" style="21" customWidth="1"/>
    <col min="2818" max="2818" width="33.7109375" style="21" customWidth="1"/>
    <col min="2819" max="2819" width="11.85546875" style="21" bestFit="1" customWidth="1"/>
    <col min="2820" max="2820" width="12.140625" style="21" customWidth="1"/>
    <col min="2821" max="2821" width="11.5703125" style="21" customWidth="1"/>
    <col min="2822" max="2822" width="12.5703125" style="21" bestFit="1" customWidth="1"/>
    <col min="2823" max="2823" width="12.140625" style="21" customWidth="1"/>
    <col min="2824" max="2824" width="12" style="21" customWidth="1"/>
    <col min="2825" max="3072" width="9.140625" style="21"/>
    <col min="3073" max="3073" width="5.85546875" style="21" customWidth="1"/>
    <col min="3074" max="3074" width="33.7109375" style="21" customWidth="1"/>
    <col min="3075" max="3075" width="11.85546875" style="21" bestFit="1" customWidth="1"/>
    <col min="3076" max="3076" width="12.140625" style="21" customWidth="1"/>
    <col min="3077" max="3077" width="11.5703125" style="21" customWidth="1"/>
    <col min="3078" max="3078" width="12.5703125" style="21" bestFit="1" customWidth="1"/>
    <col min="3079" max="3079" width="12.140625" style="21" customWidth="1"/>
    <col min="3080" max="3080" width="12" style="21" customWidth="1"/>
    <col min="3081" max="3328" width="9.140625" style="21"/>
    <col min="3329" max="3329" width="5.85546875" style="21" customWidth="1"/>
    <col min="3330" max="3330" width="33.7109375" style="21" customWidth="1"/>
    <col min="3331" max="3331" width="11.85546875" style="21" bestFit="1" customWidth="1"/>
    <col min="3332" max="3332" width="12.140625" style="21" customWidth="1"/>
    <col min="3333" max="3333" width="11.5703125" style="21" customWidth="1"/>
    <col min="3334" max="3334" width="12.5703125" style="21" bestFit="1" customWidth="1"/>
    <col min="3335" max="3335" width="12.140625" style="21" customWidth="1"/>
    <col min="3336" max="3336" width="12" style="21" customWidth="1"/>
    <col min="3337" max="3584" width="9.140625" style="21"/>
    <col min="3585" max="3585" width="5.85546875" style="21" customWidth="1"/>
    <col min="3586" max="3586" width="33.7109375" style="21" customWidth="1"/>
    <col min="3587" max="3587" width="11.85546875" style="21" bestFit="1" customWidth="1"/>
    <col min="3588" max="3588" width="12.140625" style="21" customWidth="1"/>
    <col min="3589" max="3589" width="11.5703125" style="21" customWidth="1"/>
    <col min="3590" max="3590" width="12.5703125" style="21" bestFit="1" customWidth="1"/>
    <col min="3591" max="3591" width="12.140625" style="21" customWidth="1"/>
    <col min="3592" max="3592" width="12" style="21" customWidth="1"/>
    <col min="3593" max="3840" width="9.140625" style="21"/>
    <col min="3841" max="3841" width="5.85546875" style="21" customWidth="1"/>
    <col min="3842" max="3842" width="33.7109375" style="21" customWidth="1"/>
    <col min="3843" max="3843" width="11.85546875" style="21" bestFit="1" customWidth="1"/>
    <col min="3844" max="3844" width="12.140625" style="21" customWidth="1"/>
    <col min="3845" max="3845" width="11.5703125" style="21" customWidth="1"/>
    <col min="3846" max="3846" width="12.5703125" style="21" bestFit="1" customWidth="1"/>
    <col min="3847" max="3847" width="12.140625" style="21" customWidth="1"/>
    <col min="3848" max="3848" width="12" style="21" customWidth="1"/>
    <col min="3849" max="4096" width="9.140625" style="21"/>
    <col min="4097" max="4097" width="5.85546875" style="21" customWidth="1"/>
    <col min="4098" max="4098" width="33.7109375" style="21" customWidth="1"/>
    <col min="4099" max="4099" width="11.85546875" style="21" bestFit="1" customWidth="1"/>
    <col min="4100" max="4100" width="12.140625" style="21" customWidth="1"/>
    <col min="4101" max="4101" width="11.5703125" style="21" customWidth="1"/>
    <col min="4102" max="4102" width="12.5703125" style="21" bestFit="1" customWidth="1"/>
    <col min="4103" max="4103" width="12.140625" style="21" customWidth="1"/>
    <col min="4104" max="4104" width="12" style="21" customWidth="1"/>
    <col min="4105" max="4352" width="9.140625" style="21"/>
    <col min="4353" max="4353" width="5.85546875" style="21" customWidth="1"/>
    <col min="4354" max="4354" width="33.7109375" style="21" customWidth="1"/>
    <col min="4355" max="4355" width="11.85546875" style="21" bestFit="1" customWidth="1"/>
    <col min="4356" max="4356" width="12.140625" style="21" customWidth="1"/>
    <col min="4357" max="4357" width="11.5703125" style="21" customWidth="1"/>
    <col min="4358" max="4358" width="12.5703125" style="21" bestFit="1" customWidth="1"/>
    <col min="4359" max="4359" width="12.140625" style="21" customWidth="1"/>
    <col min="4360" max="4360" width="12" style="21" customWidth="1"/>
    <col min="4361" max="4608" width="9.140625" style="21"/>
    <col min="4609" max="4609" width="5.85546875" style="21" customWidth="1"/>
    <col min="4610" max="4610" width="33.7109375" style="21" customWidth="1"/>
    <col min="4611" max="4611" width="11.85546875" style="21" bestFit="1" customWidth="1"/>
    <col min="4612" max="4612" width="12.140625" style="21" customWidth="1"/>
    <col min="4613" max="4613" width="11.5703125" style="21" customWidth="1"/>
    <col min="4614" max="4614" width="12.5703125" style="21" bestFit="1" customWidth="1"/>
    <col min="4615" max="4615" width="12.140625" style="21" customWidth="1"/>
    <col min="4616" max="4616" width="12" style="21" customWidth="1"/>
    <col min="4617" max="4864" width="9.140625" style="21"/>
    <col min="4865" max="4865" width="5.85546875" style="21" customWidth="1"/>
    <col min="4866" max="4866" width="33.7109375" style="21" customWidth="1"/>
    <col min="4867" max="4867" width="11.85546875" style="21" bestFit="1" customWidth="1"/>
    <col min="4868" max="4868" width="12.140625" style="21" customWidth="1"/>
    <col min="4869" max="4869" width="11.5703125" style="21" customWidth="1"/>
    <col min="4870" max="4870" width="12.5703125" style="21" bestFit="1" customWidth="1"/>
    <col min="4871" max="4871" width="12.140625" style="21" customWidth="1"/>
    <col min="4872" max="4872" width="12" style="21" customWidth="1"/>
    <col min="4873" max="5120" width="9.140625" style="21"/>
    <col min="5121" max="5121" width="5.85546875" style="21" customWidth="1"/>
    <col min="5122" max="5122" width="33.7109375" style="21" customWidth="1"/>
    <col min="5123" max="5123" width="11.85546875" style="21" bestFit="1" customWidth="1"/>
    <col min="5124" max="5124" width="12.140625" style="21" customWidth="1"/>
    <col min="5125" max="5125" width="11.5703125" style="21" customWidth="1"/>
    <col min="5126" max="5126" width="12.5703125" style="21" bestFit="1" customWidth="1"/>
    <col min="5127" max="5127" width="12.140625" style="21" customWidth="1"/>
    <col min="5128" max="5128" width="12" style="21" customWidth="1"/>
    <col min="5129" max="5376" width="9.140625" style="21"/>
    <col min="5377" max="5377" width="5.85546875" style="21" customWidth="1"/>
    <col min="5378" max="5378" width="33.7109375" style="21" customWidth="1"/>
    <col min="5379" max="5379" width="11.85546875" style="21" bestFit="1" customWidth="1"/>
    <col min="5380" max="5380" width="12.140625" style="21" customWidth="1"/>
    <col min="5381" max="5381" width="11.5703125" style="21" customWidth="1"/>
    <col min="5382" max="5382" width="12.5703125" style="21" bestFit="1" customWidth="1"/>
    <col min="5383" max="5383" width="12.140625" style="21" customWidth="1"/>
    <col min="5384" max="5384" width="12" style="21" customWidth="1"/>
    <col min="5385" max="5632" width="9.140625" style="21"/>
    <col min="5633" max="5633" width="5.85546875" style="21" customWidth="1"/>
    <col min="5634" max="5634" width="33.7109375" style="21" customWidth="1"/>
    <col min="5635" max="5635" width="11.85546875" style="21" bestFit="1" customWidth="1"/>
    <col min="5636" max="5636" width="12.140625" style="21" customWidth="1"/>
    <col min="5637" max="5637" width="11.5703125" style="21" customWidth="1"/>
    <col min="5638" max="5638" width="12.5703125" style="21" bestFit="1" customWidth="1"/>
    <col min="5639" max="5639" width="12.140625" style="21" customWidth="1"/>
    <col min="5640" max="5640" width="12" style="21" customWidth="1"/>
    <col min="5641" max="5888" width="9.140625" style="21"/>
    <col min="5889" max="5889" width="5.85546875" style="21" customWidth="1"/>
    <col min="5890" max="5890" width="33.7109375" style="21" customWidth="1"/>
    <col min="5891" max="5891" width="11.85546875" style="21" bestFit="1" customWidth="1"/>
    <col min="5892" max="5892" width="12.140625" style="21" customWidth="1"/>
    <col min="5893" max="5893" width="11.5703125" style="21" customWidth="1"/>
    <col min="5894" max="5894" width="12.5703125" style="21" bestFit="1" customWidth="1"/>
    <col min="5895" max="5895" width="12.140625" style="21" customWidth="1"/>
    <col min="5896" max="5896" width="12" style="21" customWidth="1"/>
    <col min="5897" max="6144" width="9.140625" style="21"/>
    <col min="6145" max="6145" width="5.85546875" style="21" customWidth="1"/>
    <col min="6146" max="6146" width="33.7109375" style="21" customWidth="1"/>
    <col min="6147" max="6147" width="11.85546875" style="21" bestFit="1" customWidth="1"/>
    <col min="6148" max="6148" width="12.140625" style="21" customWidth="1"/>
    <col min="6149" max="6149" width="11.5703125" style="21" customWidth="1"/>
    <col min="6150" max="6150" width="12.5703125" style="21" bestFit="1" customWidth="1"/>
    <col min="6151" max="6151" width="12.140625" style="21" customWidth="1"/>
    <col min="6152" max="6152" width="12" style="21" customWidth="1"/>
    <col min="6153" max="6400" width="9.140625" style="21"/>
    <col min="6401" max="6401" width="5.85546875" style="21" customWidth="1"/>
    <col min="6402" max="6402" width="33.7109375" style="21" customWidth="1"/>
    <col min="6403" max="6403" width="11.85546875" style="21" bestFit="1" customWidth="1"/>
    <col min="6404" max="6404" width="12.140625" style="21" customWidth="1"/>
    <col min="6405" max="6405" width="11.5703125" style="21" customWidth="1"/>
    <col min="6406" max="6406" width="12.5703125" style="21" bestFit="1" customWidth="1"/>
    <col min="6407" max="6407" width="12.140625" style="21" customWidth="1"/>
    <col min="6408" max="6408" width="12" style="21" customWidth="1"/>
    <col min="6409" max="6656" width="9.140625" style="21"/>
    <col min="6657" max="6657" width="5.85546875" style="21" customWidth="1"/>
    <col min="6658" max="6658" width="33.7109375" style="21" customWidth="1"/>
    <col min="6659" max="6659" width="11.85546875" style="21" bestFit="1" customWidth="1"/>
    <col min="6660" max="6660" width="12.140625" style="21" customWidth="1"/>
    <col min="6661" max="6661" width="11.5703125" style="21" customWidth="1"/>
    <col min="6662" max="6662" width="12.5703125" style="21" bestFit="1" customWidth="1"/>
    <col min="6663" max="6663" width="12.140625" style="21" customWidth="1"/>
    <col min="6664" max="6664" width="12" style="21" customWidth="1"/>
    <col min="6665" max="6912" width="9.140625" style="21"/>
    <col min="6913" max="6913" width="5.85546875" style="21" customWidth="1"/>
    <col min="6914" max="6914" width="33.7109375" style="21" customWidth="1"/>
    <col min="6915" max="6915" width="11.85546875" style="21" bestFit="1" customWidth="1"/>
    <col min="6916" max="6916" width="12.140625" style="21" customWidth="1"/>
    <col min="6917" max="6917" width="11.5703125" style="21" customWidth="1"/>
    <col min="6918" max="6918" width="12.5703125" style="21" bestFit="1" customWidth="1"/>
    <col min="6919" max="6919" width="12.140625" style="21" customWidth="1"/>
    <col min="6920" max="6920" width="12" style="21" customWidth="1"/>
    <col min="6921" max="7168" width="9.140625" style="21"/>
    <col min="7169" max="7169" width="5.85546875" style="21" customWidth="1"/>
    <col min="7170" max="7170" width="33.7109375" style="21" customWidth="1"/>
    <col min="7171" max="7171" width="11.85546875" style="21" bestFit="1" customWidth="1"/>
    <col min="7172" max="7172" width="12.140625" style="21" customWidth="1"/>
    <col min="7173" max="7173" width="11.5703125" style="21" customWidth="1"/>
    <col min="7174" max="7174" width="12.5703125" style="21" bestFit="1" customWidth="1"/>
    <col min="7175" max="7175" width="12.140625" style="21" customWidth="1"/>
    <col min="7176" max="7176" width="12" style="21" customWidth="1"/>
    <col min="7177" max="7424" width="9.140625" style="21"/>
    <col min="7425" max="7425" width="5.85546875" style="21" customWidth="1"/>
    <col min="7426" max="7426" width="33.7109375" style="21" customWidth="1"/>
    <col min="7427" max="7427" width="11.85546875" style="21" bestFit="1" customWidth="1"/>
    <col min="7428" max="7428" width="12.140625" style="21" customWidth="1"/>
    <col min="7429" max="7429" width="11.5703125" style="21" customWidth="1"/>
    <col min="7430" max="7430" width="12.5703125" style="21" bestFit="1" customWidth="1"/>
    <col min="7431" max="7431" width="12.140625" style="21" customWidth="1"/>
    <col min="7432" max="7432" width="12" style="21" customWidth="1"/>
    <col min="7433" max="7680" width="9.140625" style="21"/>
    <col min="7681" max="7681" width="5.85546875" style="21" customWidth="1"/>
    <col min="7682" max="7682" width="33.7109375" style="21" customWidth="1"/>
    <col min="7683" max="7683" width="11.85546875" style="21" bestFit="1" customWidth="1"/>
    <col min="7684" max="7684" width="12.140625" style="21" customWidth="1"/>
    <col min="7685" max="7685" width="11.5703125" style="21" customWidth="1"/>
    <col min="7686" max="7686" width="12.5703125" style="21" bestFit="1" customWidth="1"/>
    <col min="7687" max="7687" width="12.140625" style="21" customWidth="1"/>
    <col min="7688" max="7688" width="12" style="21" customWidth="1"/>
    <col min="7689" max="7936" width="9.140625" style="21"/>
    <col min="7937" max="7937" width="5.85546875" style="21" customWidth="1"/>
    <col min="7938" max="7938" width="33.7109375" style="21" customWidth="1"/>
    <col min="7939" max="7939" width="11.85546875" style="21" bestFit="1" customWidth="1"/>
    <col min="7940" max="7940" width="12.140625" style="21" customWidth="1"/>
    <col min="7941" max="7941" width="11.5703125" style="21" customWidth="1"/>
    <col min="7942" max="7942" width="12.5703125" style="21" bestFit="1" customWidth="1"/>
    <col min="7943" max="7943" width="12.140625" style="21" customWidth="1"/>
    <col min="7944" max="7944" width="12" style="21" customWidth="1"/>
    <col min="7945" max="8192" width="9.140625" style="21"/>
    <col min="8193" max="8193" width="5.85546875" style="21" customWidth="1"/>
    <col min="8194" max="8194" width="33.7109375" style="21" customWidth="1"/>
    <col min="8195" max="8195" width="11.85546875" style="21" bestFit="1" customWidth="1"/>
    <col min="8196" max="8196" width="12.140625" style="21" customWidth="1"/>
    <col min="8197" max="8197" width="11.5703125" style="21" customWidth="1"/>
    <col min="8198" max="8198" width="12.5703125" style="21" bestFit="1" customWidth="1"/>
    <col min="8199" max="8199" width="12.140625" style="21" customWidth="1"/>
    <col min="8200" max="8200" width="12" style="21" customWidth="1"/>
    <col min="8201" max="8448" width="9.140625" style="21"/>
    <col min="8449" max="8449" width="5.85546875" style="21" customWidth="1"/>
    <col min="8450" max="8450" width="33.7109375" style="21" customWidth="1"/>
    <col min="8451" max="8451" width="11.85546875" style="21" bestFit="1" customWidth="1"/>
    <col min="8452" max="8452" width="12.140625" style="21" customWidth="1"/>
    <col min="8453" max="8453" width="11.5703125" style="21" customWidth="1"/>
    <col min="8454" max="8454" width="12.5703125" style="21" bestFit="1" customWidth="1"/>
    <col min="8455" max="8455" width="12.140625" style="21" customWidth="1"/>
    <col min="8456" max="8456" width="12" style="21" customWidth="1"/>
    <col min="8457" max="8704" width="9.140625" style="21"/>
    <col min="8705" max="8705" width="5.85546875" style="21" customWidth="1"/>
    <col min="8706" max="8706" width="33.7109375" style="21" customWidth="1"/>
    <col min="8707" max="8707" width="11.85546875" style="21" bestFit="1" customWidth="1"/>
    <col min="8708" max="8708" width="12.140625" style="21" customWidth="1"/>
    <col min="8709" max="8709" width="11.5703125" style="21" customWidth="1"/>
    <col min="8710" max="8710" width="12.5703125" style="21" bestFit="1" customWidth="1"/>
    <col min="8711" max="8711" width="12.140625" style="21" customWidth="1"/>
    <col min="8712" max="8712" width="12" style="21" customWidth="1"/>
    <col min="8713" max="8960" width="9.140625" style="21"/>
    <col min="8961" max="8961" width="5.85546875" style="21" customWidth="1"/>
    <col min="8962" max="8962" width="33.7109375" style="21" customWidth="1"/>
    <col min="8963" max="8963" width="11.85546875" style="21" bestFit="1" customWidth="1"/>
    <col min="8964" max="8964" width="12.140625" style="21" customWidth="1"/>
    <col min="8965" max="8965" width="11.5703125" style="21" customWidth="1"/>
    <col min="8966" max="8966" width="12.5703125" style="21" bestFit="1" customWidth="1"/>
    <col min="8967" max="8967" width="12.140625" style="21" customWidth="1"/>
    <col min="8968" max="8968" width="12" style="21" customWidth="1"/>
    <col min="8969" max="9216" width="9.140625" style="21"/>
    <col min="9217" max="9217" width="5.85546875" style="21" customWidth="1"/>
    <col min="9218" max="9218" width="33.7109375" style="21" customWidth="1"/>
    <col min="9219" max="9219" width="11.85546875" style="21" bestFit="1" customWidth="1"/>
    <col min="9220" max="9220" width="12.140625" style="21" customWidth="1"/>
    <col min="9221" max="9221" width="11.5703125" style="21" customWidth="1"/>
    <col min="9222" max="9222" width="12.5703125" style="21" bestFit="1" customWidth="1"/>
    <col min="9223" max="9223" width="12.140625" style="21" customWidth="1"/>
    <col min="9224" max="9224" width="12" style="21" customWidth="1"/>
    <col min="9225" max="9472" width="9.140625" style="21"/>
    <col min="9473" max="9473" width="5.85546875" style="21" customWidth="1"/>
    <col min="9474" max="9474" width="33.7109375" style="21" customWidth="1"/>
    <col min="9475" max="9475" width="11.85546875" style="21" bestFit="1" customWidth="1"/>
    <col min="9476" max="9476" width="12.140625" style="21" customWidth="1"/>
    <col min="9477" max="9477" width="11.5703125" style="21" customWidth="1"/>
    <col min="9478" max="9478" width="12.5703125" style="21" bestFit="1" customWidth="1"/>
    <col min="9479" max="9479" width="12.140625" style="21" customWidth="1"/>
    <col min="9480" max="9480" width="12" style="21" customWidth="1"/>
    <col min="9481" max="9728" width="9.140625" style="21"/>
    <col min="9729" max="9729" width="5.85546875" style="21" customWidth="1"/>
    <col min="9730" max="9730" width="33.7109375" style="21" customWidth="1"/>
    <col min="9731" max="9731" width="11.85546875" style="21" bestFit="1" customWidth="1"/>
    <col min="9732" max="9732" width="12.140625" style="21" customWidth="1"/>
    <col min="9733" max="9733" width="11.5703125" style="21" customWidth="1"/>
    <col min="9734" max="9734" width="12.5703125" style="21" bestFit="1" customWidth="1"/>
    <col min="9735" max="9735" width="12.140625" style="21" customWidth="1"/>
    <col min="9736" max="9736" width="12" style="21" customWidth="1"/>
    <col min="9737" max="9984" width="9.140625" style="21"/>
    <col min="9985" max="9985" width="5.85546875" style="21" customWidth="1"/>
    <col min="9986" max="9986" width="33.7109375" style="21" customWidth="1"/>
    <col min="9987" max="9987" width="11.85546875" style="21" bestFit="1" customWidth="1"/>
    <col min="9988" max="9988" width="12.140625" style="21" customWidth="1"/>
    <col min="9989" max="9989" width="11.5703125" style="21" customWidth="1"/>
    <col min="9990" max="9990" width="12.5703125" style="21" bestFit="1" customWidth="1"/>
    <col min="9991" max="9991" width="12.140625" style="21" customWidth="1"/>
    <col min="9992" max="9992" width="12" style="21" customWidth="1"/>
    <col min="9993" max="10240" width="9.140625" style="21"/>
    <col min="10241" max="10241" width="5.85546875" style="21" customWidth="1"/>
    <col min="10242" max="10242" width="33.7109375" style="21" customWidth="1"/>
    <col min="10243" max="10243" width="11.85546875" style="21" bestFit="1" customWidth="1"/>
    <col min="10244" max="10244" width="12.140625" style="21" customWidth="1"/>
    <col min="10245" max="10245" width="11.5703125" style="21" customWidth="1"/>
    <col min="10246" max="10246" width="12.5703125" style="21" bestFit="1" customWidth="1"/>
    <col min="10247" max="10247" width="12.140625" style="21" customWidth="1"/>
    <col min="10248" max="10248" width="12" style="21" customWidth="1"/>
    <col min="10249" max="10496" width="9.140625" style="21"/>
    <col min="10497" max="10497" width="5.85546875" style="21" customWidth="1"/>
    <col min="10498" max="10498" width="33.7109375" style="21" customWidth="1"/>
    <col min="10499" max="10499" width="11.85546875" style="21" bestFit="1" customWidth="1"/>
    <col min="10500" max="10500" width="12.140625" style="21" customWidth="1"/>
    <col min="10501" max="10501" width="11.5703125" style="21" customWidth="1"/>
    <col min="10502" max="10502" width="12.5703125" style="21" bestFit="1" customWidth="1"/>
    <col min="10503" max="10503" width="12.140625" style="21" customWidth="1"/>
    <col min="10504" max="10504" width="12" style="21" customWidth="1"/>
    <col min="10505" max="10752" width="9.140625" style="21"/>
    <col min="10753" max="10753" width="5.85546875" style="21" customWidth="1"/>
    <col min="10754" max="10754" width="33.7109375" style="21" customWidth="1"/>
    <col min="10755" max="10755" width="11.85546875" style="21" bestFit="1" customWidth="1"/>
    <col min="10756" max="10756" width="12.140625" style="21" customWidth="1"/>
    <col min="10757" max="10757" width="11.5703125" style="21" customWidth="1"/>
    <col min="10758" max="10758" width="12.5703125" style="21" bestFit="1" customWidth="1"/>
    <col min="10759" max="10759" width="12.140625" style="21" customWidth="1"/>
    <col min="10760" max="10760" width="12" style="21" customWidth="1"/>
    <col min="10761" max="11008" width="9.140625" style="21"/>
    <col min="11009" max="11009" width="5.85546875" style="21" customWidth="1"/>
    <col min="11010" max="11010" width="33.7109375" style="21" customWidth="1"/>
    <col min="11011" max="11011" width="11.85546875" style="21" bestFit="1" customWidth="1"/>
    <col min="11012" max="11012" width="12.140625" style="21" customWidth="1"/>
    <col min="11013" max="11013" width="11.5703125" style="21" customWidth="1"/>
    <col min="11014" max="11014" width="12.5703125" style="21" bestFit="1" customWidth="1"/>
    <col min="11015" max="11015" width="12.140625" style="21" customWidth="1"/>
    <col min="11016" max="11016" width="12" style="21" customWidth="1"/>
    <col min="11017" max="11264" width="9.140625" style="21"/>
    <col min="11265" max="11265" width="5.85546875" style="21" customWidth="1"/>
    <col min="11266" max="11266" width="33.7109375" style="21" customWidth="1"/>
    <col min="11267" max="11267" width="11.85546875" style="21" bestFit="1" customWidth="1"/>
    <col min="11268" max="11268" width="12.140625" style="21" customWidth="1"/>
    <col min="11269" max="11269" width="11.5703125" style="21" customWidth="1"/>
    <col min="11270" max="11270" width="12.5703125" style="21" bestFit="1" customWidth="1"/>
    <col min="11271" max="11271" width="12.140625" style="21" customWidth="1"/>
    <col min="11272" max="11272" width="12" style="21" customWidth="1"/>
    <col min="11273" max="11520" width="9.140625" style="21"/>
    <col min="11521" max="11521" width="5.85546875" style="21" customWidth="1"/>
    <col min="11522" max="11522" width="33.7109375" style="21" customWidth="1"/>
    <col min="11523" max="11523" width="11.85546875" style="21" bestFit="1" customWidth="1"/>
    <col min="11524" max="11524" width="12.140625" style="21" customWidth="1"/>
    <col min="11525" max="11525" width="11.5703125" style="21" customWidth="1"/>
    <col min="11526" max="11526" width="12.5703125" style="21" bestFit="1" customWidth="1"/>
    <col min="11527" max="11527" width="12.140625" style="21" customWidth="1"/>
    <col min="11528" max="11528" width="12" style="21" customWidth="1"/>
    <col min="11529" max="11776" width="9.140625" style="21"/>
    <col min="11777" max="11777" width="5.85546875" style="21" customWidth="1"/>
    <col min="11778" max="11778" width="33.7109375" style="21" customWidth="1"/>
    <col min="11779" max="11779" width="11.85546875" style="21" bestFit="1" customWidth="1"/>
    <col min="11780" max="11780" width="12.140625" style="21" customWidth="1"/>
    <col min="11781" max="11781" width="11.5703125" style="21" customWidth="1"/>
    <col min="11782" max="11782" width="12.5703125" style="21" bestFit="1" customWidth="1"/>
    <col min="11783" max="11783" width="12.140625" style="21" customWidth="1"/>
    <col min="11784" max="11784" width="12" style="21" customWidth="1"/>
    <col min="11785" max="12032" width="9.140625" style="21"/>
    <col min="12033" max="12033" width="5.85546875" style="21" customWidth="1"/>
    <col min="12034" max="12034" width="33.7109375" style="21" customWidth="1"/>
    <col min="12035" max="12035" width="11.85546875" style="21" bestFit="1" customWidth="1"/>
    <col min="12036" max="12036" width="12.140625" style="21" customWidth="1"/>
    <col min="12037" max="12037" width="11.5703125" style="21" customWidth="1"/>
    <col min="12038" max="12038" width="12.5703125" style="21" bestFit="1" customWidth="1"/>
    <col min="12039" max="12039" width="12.140625" style="21" customWidth="1"/>
    <col min="12040" max="12040" width="12" style="21" customWidth="1"/>
    <col min="12041" max="12288" width="9.140625" style="21"/>
    <col min="12289" max="12289" width="5.85546875" style="21" customWidth="1"/>
    <col min="12290" max="12290" width="33.7109375" style="21" customWidth="1"/>
    <col min="12291" max="12291" width="11.85546875" style="21" bestFit="1" customWidth="1"/>
    <col min="12292" max="12292" width="12.140625" style="21" customWidth="1"/>
    <col min="12293" max="12293" width="11.5703125" style="21" customWidth="1"/>
    <col min="12294" max="12294" width="12.5703125" style="21" bestFit="1" customWidth="1"/>
    <col min="12295" max="12295" width="12.140625" style="21" customWidth="1"/>
    <col min="12296" max="12296" width="12" style="21" customWidth="1"/>
    <col min="12297" max="12544" width="9.140625" style="21"/>
    <col min="12545" max="12545" width="5.85546875" style="21" customWidth="1"/>
    <col min="12546" max="12546" width="33.7109375" style="21" customWidth="1"/>
    <col min="12547" max="12547" width="11.85546875" style="21" bestFit="1" customWidth="1"/>
    <col min="12548" max="12548" width="12.140625" style="21" customWidth="1"/>
    <col min="12549" max="12549" width="11.5703125" style="21" customWidth="1"/>
    <col min="12550" max="12550" width="12.5703125" style="21" bestFit="1" customWidth="1"/>
    <col min="12551" max="12551" width="12.140625" style="21" customWidth="1"/>
    <col min="12552" max="12552" width="12" style="21" customWidth="1"/>
    <col min="12553" max="12800" width="9.140625" style="21"/>
    <col min="12801" max="12801" width="5.85546875" style="21" customWidth="1"/>
    <col min="12802" max="12802" width="33.7109375" style="21" customWidth="1"/>
    <col min="12803" max="12803" width="11.85546875" style="21" bestFit="1" customWidth="1"/>
    <col min="12804" max="12804" width="12.140625" style="21" customWidth="1"/>
    <col min="12805" max="12805" width="11.5703125" style="21" customWidth="1"/>
    <col min="12806" max="12806" width="12.5703125" style="21" bestFit="1" customWidth="1"/>
    <col min="12807" max="12807" width="12.140625" style="21" customWidth="1"/>
    <col min="12808" max="12808" width="12" style="21" customWidth="1"/>
    <col min="12809" max="13056" width="9.140625" style="21"/>
    <col min="13057" max="13057" width="5.85546875" style="21" customWidth="1"/>
    <col min="13058" max="13058" width="33.7109375" style="21" customWidth="1"/>
    <col min="13059" max="13059" width="11.85546875" style="21" bestFit="1" customWidth="1"/>
    <col min="13060" max="13060" width="12.140625" style="21" customWidth="1"/>
    <col min="13061" max="13061" width="11.5703125" style="21" customWidth="1"/>
    <col min="13062" max="13062" width="12.5703125" style="21" bestFit="1" customWidth="1"/>
    <col min="13063" max="13063" width="12.140625" style="21" customWidth="1"/>
    <col min="13064" max="13064" width="12" style="21" customWidth="1"/>
    <col min="13065" max="13312" width="9.140625" style="21"/>
    <col min="13313" max="13313" width="5.85546875" style="21" customWidth="1"/>
    <col min="13314" max="13314" width="33.7109375" style="21" customWidth="1"/>
    <col min="13315" max="13315" width="11.85546875" style="21" bestFit="1" customWidth="1"/>
    <col min="13316" max="13316" width="12.140625" style="21" customWidth="1"/>
    <col min="13317" max="13317" width="11.5703125" style="21" customWidth="1"/>
    <col min="13318" max="13318" width="12.5703125" style="21" bestFit="1" customWidth="1"/>
    <col min="13319" max="13319" width="12.140625" style="21" customWidth="1"/>
    <col min="13320" max="13320" width="12" style="21" customWidth="1"/>
    <col min="13321" max="13568" width="9.140625" style="21"/>
    <col min="13569" max="13569" width="5.85546875" style="21" customWidth="1"/>
    <col min="13570" max="13570" width="33.7109375" style="21" customWidth="1"/>
    <col min="13571" max="13571" width="11.85546875" style="21" bestFit="1" customWidth="1"/>
    <col min="13572" max="13572" width="12.140625" style="21" customWidth="1"/>
    <col min="13573" max="13573" width="11.5703125" style="21" customWidth="1"/>
    <col min="13574" max="13574" width="12.5703125" style="21" bestFit="1" customWidth="1"/>
    <col min="13575" max="13575" width="12.140625" style="21" customWidth="1"/>
    <col min="13576" max="13576" width="12" style="21" customWidth="1"/>
    <col min="13577" max="13824" width="9.140625" style="21"/>
    <col min="13825" max="13825" width="5.85546875" style="21" customWidth="1"/>
    <col min="13826" max="13826" width="33.7109375" style="21" customWidth="1"/>
    <col min="13827" max="13827" width="11.85546875" style="21" bestFit="1" customWidth="1"/>
    <col min="13828" max="13828" width="12.140625" style="21" customWidth="1"/>
    <col min="13829" max="13829" width="11.5703125" style="21" customWidth="1"/>
    <col min="13830" max="13830" width="12.5703125" style="21" bestFit="1" customWidth="1"/>
    <col min="13831" max="13831" width="12.140625" style="21" customWidth="1"/>
    <col min="13832" max="13832" width="12" style="21" customWidth="1"/>
    <col min="13833" max="14080" width="9.140625" style="21"/>
    <col min="14081" max="14081" width="5.85546875" style="21" customWidth="1"/>
    <col min="14082" max="14082" width="33.7109375" style="21" customWidth="1"/>
    <col min="14083" max="14083" width="11.85546875" style="21" bestFit="1" customWidth="1"/>
    <col min="14084" max="14084" width="12.140625" style="21" customWidth="1"/>
    <col min="14085" max="14085" width="11.5703125" style="21" customWidth="1"/>
    <col min="14086" max="14086" width="12.5703125" style="21" bestFit="1" customWidth="1"/>
    <col min="14087" max="14087" width="12.140625" style="21" customWidth="1"/>
    <col min="14088" max="14088" width="12" style="21" customWidth="1"/>
    <col min="14089" max="14336" width="9.140625" style="21"/>
    <col min="14337" max="14337" width="5.85546875" style="21" customWidth="1"/>
    <col min="14338" max="14338" width="33.7109375" style="21" customWidth="1"/>
    <col min="14339" max="14339" width="11.85546875" style="21" bestFit="1" customWidth="1"/>
    <col min="14340" max="14340" width="12.140625" style="21" customWidth="1"/>
    <col min="14341" max="14341" width="11.5703125" style="21" customWidth="1"/>
    <col min="14342" max="14342" width="12.5703125" style="21" bestFit="1" customWidth="1"/>
    <col min="14343" max="14343" width="12.140625" style="21" customWidth="1"/>
    <col min="14344" max="14344" width="12" style="21" customWidth="1"/>
    <col min="14345" max="14592" width="9.140625" style="21"/>
    <col min="14593" max="14593" width="5.85546875" style="21" customWidth="1"/>
    <col min="14594" max="14594" width="33.7109375" style="21" customWidth="1"/>
    <col min="14595" max="14595" width="11.85546875" style="21" bestFit="1" customWidth="1"/>
    <col min="14596" max="14596" width="12.140625" style="21" customWidth="1"/>
    <col min="14597" max="14597" width="11.5703125" style="21" customWidth="1"/>
    <col min="14598" max="14598" width="12.5703125" style="21" bestFit="1" customWidth="1"/>
    <col min="14599" max="14599" width="12.140625" style="21" customWidth="1"/>
    <col min="14600" max="14600" width="12" style="21" customWidth="1"/>
    <col min="14601" max="14848" width="9.140625" style="21"/>
    <col min="14849" max="14849" width="5.85546875" style="21" customWidth="1"/>
    <col min="14850" max="14850" width="33.7109375" style="21" customWidth="1"/>
    <col min="14851" max="14851" width="11.85546875" style="21" bestFit="1" customWidth="1"/>
    <col min="14852" max="14852" width="12.140625" style="21" customWidth="1"/>
    <col min="14853" max="14853" width="11.5703125" style="21" customWidth="1"/>
    <col min="14854" max="14854" width="12.5703125" style="21" bestFit="1" customWidth="1"/>
    <col min="14855" max="14855" width="12.140625" style="21" customWidth="1"/>
    <col min="14856" max="14856" width="12" style="21" customWidth="1"/>
    <col min="14857" max="15104" width="9.140625" style="21"/>
    <col min="15105" max="15105" width="5.85546875" style="21" customWidth="1"/>
    <col min="15106" max="15106" width="33.7109375" style="21" customWidth="1"/>
    <col min="15107" max="15107" width="11.85546875" style="21" bestFit="1" customWidth="1"/>
    <col min="15108" max="15108" width="12.140625" style="21" customWidth="1"/>
    <col min="15109" max="15109" width="11.5703125" style="21" customWidth="1"/>
    <col min="15110" max="15110" width="12.5703125" style="21" bestFit="1" customWidth="1"/>
    <col min="15111" max="15111" width="12.140625" style="21" customWidth="1"/>
    <col min="15112" max="15112" width="12" style="21" customWidth="1"/>
    <col min="15113" max="15360" width="9.140625" style="21"/>
    <col min="15361" max="15361" width="5.85546875" style="21" customWidth="1"/>
    <col min="15362" max="15362" width="33.7109375" style="21" customWidth="1"/>
    <col min="15363" max="15363" width="11.85546875" style="21" bestFit="1" customWidth="1"/>
    <col min="15364" max="15364" width="12.140625" style="21" customWidth="1"/>
    <col min="15365" max="15365" width="11.5703125" style="21" customWidth="1"/>
    <col min="15366" max="15366" width="12.5703125" style="21" bestFit="1" customWidth="1"/>
    <col min="15367" max="15367" width="12.140625" style="21" customWidth="1"/>
    <col min="15368" max="15368" width="12" style="21" customWidth="1"/>
    <col min="15369" max="15616" width="9.140625" style="21"/>
    <col min="15617" max="15617" width="5.85546875" style="21" customWidth="1"/>
    <col min="15618" max="15618" width="33.7109375" style="21" customWidth="1"/>
    <col min="15619" max="15619" width="11.85546875" style="21" bestFit="1" customWidth="1"/>
    <col min="15620" max="15620" width="12.140625" style="21" customWidth="1"/>
    <col min="15621" max="15621" width="11.5703125" style="21" customWidth="1"/>
    <col min="15622" max="15622" width="12.5703125" style="21" bestFit="1" customWidth="1"/>
    <col min="15623" max="15623" width="12.140625" style="21" customWidth="1"/>
    <col min="15624" max="15624" width="12" style="21" customWidth="1"/>
    <col min="15625" max="15872" width="9.140625" style="21"/>
    <col min="15873" max="15873" width="5.85546875" style="21" customWidth="1"/>
    <col min="15874" max="15874" width="33.7109375" style="21" customWidth="1"/>
    <col min="15875" max="15875" width="11.85546875" style="21" bestFit="1" customWidth="1"/>
    <col min="15876" max="15876" width="12.140625" style="21" customWidth="1"/>
    <col min="15877" max="15877" width="11.5703125" style="21" customWidth="1"/>
    <col min="15878" max="15878" width="12.5703125" style="21" bestFit="1" customWidth="1"/>
    <col min="15879" max="15879" width="12.140625" style="21" customWidth="1"/>
    <col min="15880" max="15880" width="12" style="21" customWidth="1"/>
    <col min="15881" max="16128" width="9.140625" style="21"/>
    <col min="16129" max="16129" width="5.85546875" style="21" customWidth="1"/>
    <col min="16130" max="16130" width="33.7109375" style="21" customWidth="1"/>
    <col min="16131" max="16131" width="11.85546875" style="21" bestFit="1" customWidth="1"/>
    <col min="16132" max="16132" width="12.140625" style="21" customWidth="1"/>
    <col min="16133" max="16133" width="11.5703125" style="21" customWidth="1"/>
    <col min="16134" max="16134" width="12.5703125" style="21" bestFit="1" customWidth="1"/>
    <col min="16135" max="16135" width="12.140625" style="21" customWidth="1"/>
    <col min="16136" max="16136" width="12" style="21" customWidth="1"/>
    <col min="16137" max="16384" width="9.140625" style="21"/>
  </cols>
  <sheetData>
    <row r="1" spans="1:8" ht="28.35" customHeight="1" x14ac:dyDescent="0.2">
      <c r="A1" s="148" t="s">
        <v>0</v>
      </c>
      <c r="B1" s="140"/>
      <c r="C1" s="140"/>
      <c r="D1" s="140"/>
      <c r="E1" s="140"/>
      <c r="F1" s="140"/>
      <c r="G1" s="140"/>
      <c r="H1" s="140"/>
    </row>
    <row r="2" spans="1:8" ht="17.100000000000001" customHeight="1" x14ac:dyDescent="0.2">
      <c r="A2" s="141" t="s">
        <v>441</v>
      </c>
      <c r="B2" s="140"/>
      <c r="C2" s="140"/>
      <c r="D2" s="140"/>
      <c r="E2" s="140"/>
      <c r="F2" s="140"/>
      <c r="G2" s="140"/>
      <c r="H2" s="140"/>
    </row>
    <row r="3" spans="1:8" ht="17.100000000000001" customHeight="1" x14ac:dyDescent="0.2">
      <c r="A3" s="149" t="s">
        <v>442</v>
      </c>
      <c r="B3" s="140"/>
      <c r="C3" s="140"/>
      <c r="D3" s="140"/>
      <c r="E3" s="140"/>
      <c r="F3" s="140"/>
      <c r="G3" s="140"/>
      <c r="H3" s="140"/>
    </row>
    <row r="4" spans="1:8" ht="11.45" customHeight="1" x14ac:dyDescent="0.2">
      <c r="A4" s="150" t="s">
        <v>443</v>
      </c>
      <c r="B4" s="146"/>
      <c r="C4" s="151">
        <v>2024</v>
      </c>
      <c r="D4" s="152"/>
      <c r="E4" s="146"/>
      <c r="F4" s="151">
        <v>2023</v>
      </c>
      <c r="G4" s="152"/>
      <c r="H4" s="146"/>
    </row>
    <row r="5" spans="1:8" ht="18" x14ac:dyDescent="0.2">
      <c r="A5" s="22" t="s">
        <v>7</v>
      </c>
      <c r="B5" s="22" t="s">
        <v>8</v>
      </c>
      <c r="C5" s="23" t="s">
        <v>619</v>
      </c>
      <c r="D5" s="23" t="s">
        <v>445</v>
      </c>
      <c r="E5" s="23" t="s">
        <v>446</v>
      </c>
      <c r="F5" s="23" t="s">
        <v>444</v>
      </c>
      <c r="G5" s="23" t="s">
        <v>445</v>
      </c>
      <c r="H5" s="23" t="s">
        <v>446</v>
      </c>
    </row>
    <row r="6" spans="1:8" x14ac:dyDescent="0.2">
      <c r="A6" s="153"/>
      <c r="B6" s="146"/>
      <c r="C6" s="24"/>
      <c r="D6" s="25"/>
      <c r="E6" s="24"/>
      <c r="F6" s="24"/>
      <c r="G6" s="25"/>
      <c r="H6" s="24"/>
    </row>
    <row r="7" spans="1:8" x14ac:dyDescent="0.2">
      <c r="A7" s="153"/>
      <c r="B7" s="146"/>
      <c r="C7" s="24"/>
      <c r="D7" s="24"/>
      <c r="E7" s="25"/>
      <c r="F7" s="25"/>
      <c r="G7" s="24"/>
      <c r="H7" s="25"/>
    </row>
    <row r="8" spans="1:8" x14ac:dyDescent="0.2">
      <c r="A8" s="26" t="s">
        <v>18</v>
      </c>
      <c r="B8" s="26" t="s">
        <v>19</v>
      </c>
      <c r="C8" s="26"/>
      <c r="D8" s="26"/>
      <c r="E8" s="26"/>
      <c r="F8" s="26"/>
      <c r="G8" s="26"/>
      <c r="H8" s="26"/>
    </row>
    <row r="9" spans="1:8" ht="16.5" x14ac:dyDescent="0.2">
      <c r="A9" s="27" t="s">
        <v>447</v>
      </c>
      <c r="B9" s="27" t="s">
        <v>448</v>
      </c>
      <c r="C9" s="27"/>
      <c r="D9" s="27"/>
      <c r="E9" s="27"/>
      <c r="F9" s="27"/>
      <c r="G9" s="27"/>
      <c r="H9" s="27"/>
    </row>
    <row r="10" spans="1:8" x14ac:dyDescent="0.2">
      <c r="A10" s="28" t="s">
        <v>449</v>
      </c>
      <c r="B10" s="28" t="s">
        <v>21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</row>
    <row r="11" spans="1:8" ht="16.5" x14ac:dyDescent="0.2">
      <c r="A11" s="28" t="s">
        <v>450</v>
      </c>
      <c r="B11" s="28" t="s">
        <v>26</v>
      </c>
      <c r="C11" s="29">
        <v>5000</v>
      </c>
      <c r="D11" s="29">
        <f>'Stampa rendiconto PI - ENTR'!K14</f>
        <v>0</v>
      </c>
      <c r="E11" s="29">
        <f>'Stampa rendiconto PII - ENTRATE'!L14</f>
        <v>0</v>
      </c>
      <c r="F11" s="29">
        <v>5000</v>
      </c>
      <c r="G11" s="29">
        <v>36600</v>
      </c>
      <c r="H11" s="29">
        <v>54250</v>
      </c>
    </row>
    <row r="12" spans="1:8" ht="16.5" x14ac:dyDescent="0.2">
      <c r="A12" s="28" t="s">
        <v>451</v>
      </c>
      <c r="B12" s="28" t="s">
        <v>31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</row>
    <row r="13" spans="1:8" ht="16.5" x14ac:dyDescent="0.2">
      <c r="A13" s="28" t="s">
        <v>452</v>
      </c>
      <c r="B13" s="28" t="s">
        <v>38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</row>
    <row r="14" spans="1:8" x14ac:dyDescent="0.2">
      <c r="A14" s="147" t="s">
        <v>453</v>
      </c>
      <c r="B14" s="146"/>
      <c r="C14" s="30">
        <f>SUM(C10:C13)</f>
        <v>5000</v>
      </c>
      <c r="D14" s="30">
        <f>SUM(D10:D13)</f>
        <v>0</v>
      </c>
      <c r="E14" s="30">
        <f>SUM(E10:E13)</f>
        <v>0</v>
      </c>
      <c r="F14" s="30">
        <v>5000</v>
      </c>
      <c r="G14" s="30">
        <v>36600</v>
      </c>
      <c r="H14" s="30">
        <v>54250</v>
      </c>
    </row>
    <row r="15" spans="1:8" x14ac:dyDescent="0.2">
      <c r="A15" s="27" t="s">
        <v>454</v>
      </c>
      <c r="B15" s="27" t="s">
        <v>455</v>
      </c>
      <c r="C15" s="27"/>
      <c r="D15" s="27"/>
      <c r="E15" s="27"/>
      <c r="F15" s="27"/>
      <c r="G15" s="31"/>
      <c r="H15" s="27"/>
    </row>
    <row r="16" spans="1:8" x14ac:dyDescent="0.2">
      <c r="A16" s="28" t="s">
        <v>456</v>
      </c>
      <c r="B16" s="28" t="s">
        <v>47</v>
      </c>
      <c r="C16" s="32">
        <v>1803151</v>
      </c>
      <c r="D16" s="29">
        <f>'Stampa rendiconto PI - ENTR'!K31</f>
        <v>10976656</v>
      </c>
      <c r="E16" s="29">
        <f>'Stampa rendiconto PII - ENTRATE'!L31</f>
        <v>12770947</v>
      </c>
      <c r="F16" s="29">
        <v>1803151</v>
      </c>
      <c r="G16" s="29">
        <v>16004386</v>
      </c>
      <c r="H16" s="29">
        <v>15310077</v>
      </c>
    </row>
    <row r="17" spans="1:8" ht="16.5" x14ac:dyDescent="0.2">
      <c r="A17" s="28" t="s">
        <v>457</v>
      </c>
      <c r="B17" s="28" t="s">
        <v>62</v>
      </c>
      <c r="C17" s="32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</row>
    <row r="18" spans="1:8" x14ac:dyDescent="0.2">
      <c r="A18" s="28" t="s">
        <v>458</v>
      </c>
      <c r="B18" s="28" t="s">
        <v>67</v>
      </c>
      <c r="C18" s="32">
        <v>212029</v>
      </c>
      <c r="D18" s="29">
        <f>'Stampa rendiconto PI - ENTR'!K40</f>
        <v>5968832</v>
      </c>
      <c r="E18" s="29">
        <f>'Stampa rendiconto PII - ENTRATE'!L40</f>
        <v>5888421</v>
      </c>
      <c r="F18" s="29">
        <v>212029</v>
      </c>
      <c r="G18" s="29">
        <v>4170245</v>
      </c>
      <c r="H18" s="29">
        <v>4859404</v>
      </c>
    </row>
    <row r="19" spans="1:8" ht="16.5" x14ac:dyDescent="0.2">
      <c r="A19" s="28" t="s">
        <v>459</v>
      </c>
      <c r="B19" s="28" t="s">
        <v>78</v>
      </c>
      <c r="C19" s="32">
        <v>77234</v>
      </c>
      <c r="D19" s="29">
        <f>'Stampa rendiconto PI - ENTR'!K44</f>
        <v>6611220</v>
      </c>
      <c r="E19" s="29">
        <f>'Stampa rendiconto PII - ENTRATE'!L44</f>
        <v>6608651</v>
      </c>
      <c r="F19" s="29">
        <v>77234</v>
      </c>
      <c r="G19" s="29">
        <v>4281845</v>
      </c>
      <c r="H19" s="29">
        <v>4256681</v>
      </c>
    </row>
    <row r="20" spans="1:8" ht="16.5" x14ac:dyDescent="0.2">
      <c r="A20" s="28" t="s">
        <v>460</v>
      </c>
      <c r="B20" s="28" t="s">
        <v>85</v>
      </c>
      <c r="C20" s="32">
        <v>0</v>
      </c>
      <c r="D20" s="29">
        <f>'Stampa rendiconto PI - ENTR'!K48</f>
        <v>382776</v>
      </c>
      <c r="E20" s="29">
        <f>'Stampa rendiconto PII - ENTRATE'!L48</f>
        <v>382776</v>
      </c>
      <c r="F20" s="29">
        <v>0</v>
      </c>
      <c r="G20" s="29">
        <v>90363</v>
      </c>
      <c r="H20" s="29">
        <v>90363</v>
      </c>
    </row>
    <row r="21" spans="1:8" x14ac:dyDescent="0.2">
      <c r="A21" s="147" t="s">
        <v>461</v>
      </c>
      <c r="B21" s="146"/>
      <c r="C21" s="33">
        <f>SUM(C16:C20)</f>
        <v>2092414</v>
      </c>
      <c r="D21" s="33">
        <f>SUM(D16:D20)</f>
        <v>23939484</v>
      </c>
      <c r="E21" s="33">
        <f>SUM(E16:E20)</f>
        <v>25650795</v>
      </c>
      <c r="F21" s="30">
        <v>2092414</v>
      </c>
      <c r="G21" s="30">
        <v>24546839</v>
      </c>
      <c r="H21" s="30">
        <v>24516525</v>
      </c>
    </row>
    <row r="22" spans="1:8" x14ac:dyDescent="0.2">
      <c r="A22" s="147" t="s">
        <v>462</v>
      </c>
      <c r="B22" s="146"/>
      <c r="C22" s="30">
        <f>C14+C21</f>
        <v>2097414</v>
      </c>
      <c r="D22" s="30">
        <f>D21+D14</f>
        <v>23939484</v>
      </c>
      <c r="E22" s="30">
        <f>E21+E14</f>
        <v>25650795</v>
      </c>
      <c r="F22" s="30">
        <v>2097414</v>
      </c>
      <c r="G22" s="30">
        <v>24583439</v>
      </c>
      <c r="H22" s="30">
        <v>24570775</v>
      </c>
    </row>
    <row r="23" spans="1:8" x14ac:dyDescent="0.2">
      <c r="A23" s="26" t="s">
        <v>92</v>
      </c>
      <c r="B23" s="26" t="s">
        <v>93</v>
      </c>
      <c r="C23" s="26"/>
      <c r="D23" s="26"/>
      <c r="E23" s="26"/>
      <c r="F23" s="26"/>
      <c r="G23" s="26"/>
      <c r="H23" s="26"/>
    </row>
    <row r="24" spans="1:8" ht="16.5" x14ac:dyDescent="0.2">
      <c r="A24" s="27" t="s">
        <v>463</v>
      </c>
      <c r="B24" s="27" t="s">
        <v>464</v>
      </c>
      <c r="C24" s="27"/>
      <c r="D24" s="27"/>
      <c r="E24" s="27"/>
      <c r="F24" s="27"/>
      <c r="G24" s="27"/>
      <c r="H24" s="27"/>
    </row>
    <row r="25" spans="1:8" x14ac:dyDescent="0.2">
      <c r="A25" s="28" t="s">
        <v>465</v>
      </c>
      <c r="B25" s="28" t="s">
        <v>95</v>
      </c>
      <c r="C25" s="34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</row>
    <row r="26" spans="1:8" ht="16.5" x14ac:dyDescent="0.2">
      <c r="A26" s="28" t="s">
        <v>466</v>
      </c>
      <c r="B26" s="28" t="s">
        <v>102</v>
      </c>
      <c r="C26" s="34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</row>
    <row r="27" spans="1:8" x14ac:dyDescent="0.2">
      <c r="A27" s="28" t="s">
        <v>467</v>
      </c>
      <c r="B27" s="28" t="s">
        <v>109</v>
      </c>
      <c r="C27" s="34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</row>
    <row r="28" spans="1:8" x14ac:dyDescent="0.2">
      <c r="A28" s="28" t="s">
        <v>468</v>
      </c>
      <c r="B28" s="28" t="s">
        <v>114</v>
      </c>
      <c r="C28" s="34">
        <v>0</v>
      </c>
      <c r="D28" s="29">
        <f>'Stampa rendiconto PI - ENTR'!$K$64</f>
        <v>0</v>
      </c>
      <c r="E28" s="29">
        <f>'Stampa rendiconto PII - ENTRATE'!L65</f>
        <v>0</v>
      </c>
      <c r="F28" s="29">
        <v>0</v>
      </c>
      <c r="G28" s="29">
        <v>1851457</v>
      </c>
      <c r="H28" s="29">
        <v>1851457</v>
      </c>
    </row>
    <row r="29" spans="1:8" x14ac:dyDescent="0.2">
      <c r="A29" s="147" t="s">
        <v>469</v>
      </c>
      <c r="B29" s="146"/>
      <c r="C29" s="33">
        <v>0</v>
      </c>
      <c r="D29" s="30">
        <f>SUM(D25:D28)</f>
        <v>0</v>
      </c>
      <c r="E29" s="30">
        <f>SUM(E25:E28)</f>
        <v>0</v>
      </c>
      <c r="F29" s="30">
        <v>0</v>
      </c>
      <c r="G29" s="30">
        <v>1851457</v>
      </c>
      <c r="H29" s="30">
        <v>1851457</v>
      </c>
    </row>
    <row r="30" spans="1:8" ht="16.5" x14ac:dyDescent="0.2">
      <c r="A30" s="27" t="s">
        <v>470</v>
      </c>
      <c r="B30" s="27" t="s">
        <v>471</v>
      </c>
      <c r="C30" s="27"/>
      <c r="D30" s="27"/>
      <c r="E30" s="27"/>
      <c r="F30" s="27"/>
      <c r="G30" s="27"/>
      <c r="H30" s="27"/>
    </row>
    <row r="31" spans="1:8" x14ac:dyDescent="0.2">
      <c r="A31" s="28" t="s">
        <v>472</v>
      </c>
      <c r="B31" s="28" t="s">
        <v>121</v>
      </c>
      <c r="C31" s="34">
        <v>16433403</v>
      </c>
      <c r="D31" s="29">
        <f>'Stampa rendiconto PI - ENTR'!K69</f>
        <v>33940797</v>
      </c>
      <c r="E31" s="29">
        <f>'Stampa rendiconto PII - ENTRATE'!L69</f>
        <v>3435988</v>
      </c>
      <c r="F31" s="29">
        <v>16433403</v>
      </c>
      <c r="G31" s="29">
        <v>25535352</v>
      </c>
      <c r="H31" s="29">
        <v>22342182</v>
      </c>
    </row>
    <row r="32" spans="1:8" x14ac:dyDescent="0.2">
      <c r="A32" s="28" t="s">
        <v>473</v>
      </c>
      <c r="B32" s="28" t="s">
        <v>128</v>
      </c>
      <c r="C32" s="34">
        <v>0</v>
      </c>
      <c r="D32" s="29">
        <f>'Stampa rendiconto PI - ENTR'!K72</f>
        <v>10174799</v>
      </c>
      <c r="E32" s="29">
        <f>'Stampa rendiconto PII - ENTRATE'!L72</f>
        <v>7631099</v>
      </c>
      <c r="F32" s="29">
        <v>0</v>
      </c>
      <c r="G32" s="29">
        <v>0</v>
      </c>
      <c r="H32" s="29">
        <v>21850</v>
      </c>
    </row>
    <row r="33" spans="1:8" ht="16.5" x14ac:dyDescent="0.2">
      <c r="A33" s="28" t="s">
        <v>474</v>
      </c>
      <c r="B33" s="28" t="s">
        <v>132</v>
      </c>
      <c r="C33" s="34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</row>
    <row r="34" spans="1:8" ht="16.5" x14ac:dyDescent="0.2">
      <c r="A34" s="28" t="s">
        <v>475</v>
      </c>
      <c r="B34" s="28" t="s">
        <v>139</v>
      </c>
      <c r="C34" s="34">
        <v>4300476</v>
      </c>
      <c r="D34" s="29">
        <f>'Stampa rendiconto PI - ENTR'!K80</f>
        <v>38406</v>
      </c>
      <c r="E34" s="29">
        <f>'Stampa rendiconto PII - ENTRATE'!L79</f>
        <v>509834</v>
      </c>
      <c r="F34" s="29">
        <v>4300476</v>
      </c>
      <c r="G34" s="29">
        <v>6218283</v>
      </c>
      <c r="H34" s="29">
        <v>5685426</v>
      </c>
    </row>
    <row r="35" spans="1:8" x14ac:dyDescent="0.2">
      <c r="A35" s="147" t="s">
        <v>476</v>
      </c>
      <c r="B35" s="146"/>
      <c r="C35" s="30">
        <f t="shared" ref="C35:D35" si="0">SUM(C31:C34)</f>
        <v>20733879</v>
      </c>
      <c r="D35" s="30">
        <f t="shared" si="0"/>
        <v>44154002</v>
      </c>
      <c r="E35" s="30">
        <f>SUM(E31:E34)</f>
        <v>11576921</v>
      </c>
      <c r="F35" s="30">
        <v>20733879</v>
      </c>
      <c r="G35" s="30">
        <v>31753635</v>
      </c>
      <c r="H35" s="30">
        <v>28049458</v>
      </c>
    </row>
    <row r="36" spans="1:8" x14ac:dyDescent="0.2">
      <c r="A36" s="27" t="s">
        <v>477</v>
      </c>
      <c r="B36" s="27" t="s">
        <v>478</v>
      </c>
      <c r="C36" s="27"/>
      <c r="D36" s="27"/>
      <c r="E36" s="27"/>
      <c r="F36" s="27"/>
      <c r="G36" s="27"/>
      <c r="H36" s="27"/>
    </row>
    <row r="37" spans="1:8" x14ac:dyDescent="0.2">
      <c r="A37" s="28" t="s">
        <v>479</v>
      </c>
      <c r="B37" s="28" t="s">
        <v>145</v>
      </c>
      <c r="C37" s="34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</row>
    <row r="38" spans="1:8" ht="16.5" x14ac:dyDescent="0.2">
      <c r="A38" s="28" t="s">
        <v>480</v>
      </c>
      <c r="B38" s="28" t="s">
        <v>150</v>
      </c>
      <c r="C38" s="34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</row>
    <row r="39" spans="1:8" x14ac:dyDescent="0.2">
      <c r="A39" s="28" t="s">
        <v>481</v>
      </c>
      <c r="B39" s="28" t="s">
        <v>157</v>
      </c>
      <c r="C39" s="34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</row>
    <row r="40" spans="1:8" x14ac:dyDescent="0.2">
      <c r="A40" s="147" t="s">
        <v>482</v>
      </c>
      <c r="B40" s="146"/>
      <c r="C40" s="33">
        <v>0</v>
      </c>
      <c r="D40" s="30">
        <f>SUM(D37:D39)</f>
        <v>0</v>
      </c>
      <c r="E40" s="30">
        <f>SUM(E37:E39)</f>
        <v>0</v>
      </c>
      <c r="F40" s="30">
        <v>0</v>
      </c>
      <c r="G40" s="30">
        <v>0</v>
      </c>
      <c r="H40" s="30">
        <v>0</v>
      </c>
    </row>
    <row r="41" spans="1:8" x14ac:dyDescent="0.2">
      <c r="A41" s="147" t="s">
        <v>483</v>
      </c>
      <c r="B41" s="146"/>
      <c r="C41" s="30">
        <f t="shared" ref="C41" si="1">C35</f>
        <v>20733879</v>
      </c>
      <c r="D41" s="30">
        <f>D35+D40+D29</f>
        <v>44154002</v>
      </c>
      <c r="E41" s="30">
        <f>E35+E40+E29</f>
        <v>11576921</v>
      </c>
      <c r="F41" s="30">
        <v>20733879</v>
      </c>
      <c r="G41" s="30">
        <v>33605092</v>
      </c>
      <c r="H41" s="30">
        <v>29900915</v>
      </c>
    </row>
    <row r="42" spans="1:8" x14ac:dyDescent="0.2">
      <c r="A42" s="26" t="s">
        <v>162</v>
      </c>
      <c r="B42" s="26" t="s">
        <v>163</v>
      </c>
      <c r="C42" s="26"/>
      <c r="D42" s="26"/>
      <c r="E42" s="26"/>
      <c r="F42" s="26"/>
      <c r="G42" s="26"/>
      <c r="H42" s="26"/>
    </row>
    <row r="43" spans="1:8" ht="16.5" x14ac:dyDescent="0.2">
      <c r="A43" s="27" t="s">
        <v>484</v>
      </c>
      <c r="B43" s="27" t="s">
        <v>485</v>
      </c>
      <c r="C43" s="27"/>
      <c r="D43" s="27"/>
      <c r="E43" s="27"/>
      <c r="F43" s="27"/>
      <c r="G43" s="27"/>
      <c r="H43" s="27"/>
    </row>
    <row r="44" spans="1:8" ht="16.5" x14ac:dyDescent="0.2">
      <c r="A44" s="28" t="s">
        <v>486</v>
      </c>
      <c r="B44" s="28" t="s">
        <v>165</v>
      </c>
      <c r="C44" s="34">
        <v>559931</v>
      </c>
      <c r="D44" s="29">
        <f>'Stampa rendiconto PI - ENTR'!K103</f>
        <v>4057261</v>
      </c>
      <c r="E44" s="29">
        <f>'Stampa rendiconto PII - ENTRATE'!L103</f>
        <v>4298467</v>
      </c>
      <c r="F44" s="29">
        <v>559931</v>
      </c>
      <c r="G44" s="29">
        <v>3888060</v>
      </c>
      <c r="H44" s="29">
        <v>3419946</v>
      </c>
    </row>
    <row r="45" spans="1:8" x14ac:dyDescent="0.2">
      <c r="A45" s="147" t="s">
        <v>487</v>
      </c>
      <c r="B45" s="146"/>
      <c r="C45" s="33">
        <f>SUM(C44)</f>
        <v>559931</v>
      </c>
      <c r="D45" s="30">
        <f>SUM(D44)</f>
        <v>4057261</v>
      </c>
      <c r="E45" s="30">
        <f>SUM(E44)</f>
        <v>4298467</v>
      </c>
      <c r="F45" s="30">
        <v>559931</v>
      </c>
      <c r="G45" s="30">
        <v>3888060</v>
      </c>
      <c r="H45" s="30">
        <v>3419946</v>
      </c>
    </row>
    <row r="46" spans="1:8" x14ac:dyDescent="0.2">
      <c r="A46" s="147" t="s">
        <v>488</v>
      </c>
      <c r="B46" s="146"/>
      <c r="C46" s="30">
        <f>C45</f>
        <v>559931</v>
      </c>
      <c r="D46" s="30">
        <f>D45</f>
        <v>4057261</v>
      </c>
      <c r="E46" s="30">
        <f>E45</f>
        <v>4298467</v>
      </c>
      <c r="F46" s="30">
        <v>559931</v>
      </c>
      <c r="G46" s="30">
        <v>3888060</v>
      </c>
      <c r="H46" s="30">
        <v>3419946</v>
      </c>
    </row>
    <row r="47" spans="1:8" x14ac:dyDescent="0.2">
      <c r="A47" s="145" t="s">
        <v>489</v>
      </c>
      <c r="B47" s="146"/>
      <c r="C47" s="35">
        <f>C22+C41+C46</f>
        <v>23391224</v>
      </c>
      <c r="D47" s="35">
        <f>D22+D41+D46</f>
        <v>72150747</v>
      </c>
      <c r="E47" s="35">
        <f>E22+E41+E46</f>
        <v>41526183</v>
      </c>
      <c r="F47" s="35">
        <v>23391224</v>
      </c>
      <c r="G47" s="35">
        <v>62076591</v>
      </c>
      <c r="H47" s="35">
        <v>57891636</v>
      </c>
    </row>
  </sheetData>
  <mergeCells count="18">
    <mergeCell ref="A1:H1"/>
    <mergeCell ref="A2:H2"/>
    <mergeCell ref="A3:H3"/>
    <mergeCell ref="A4:B4"/>
    <mergeCell ref="C4:E4"/>
    <mergeCell ref="F4:H4"/>
    <mergeCell ref="A47:B47"/>
    <mergeCell ref="A6:B6"/>
    <mergeCell ref="A7:B7"/>
    <mergeCell ref="A14:B14"/>
    <mergeCell ref="A21:B21"/>
    <mergeCell ref="A22:B22"/>
    <mergeCell ref="A29:B29"/>
    <mergeCell ref="A35:B35"/>
    <mergeCell ref="A40:B40"/>
    <mergeCell ref="A41:B41"/>
    <mergeCell ref="A45:B45"/>
    <mergeCell ref="A46:B46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F42D-39C7-4B72-8ECB-313BB097ACDA}">
  <dimension ref="A1:P108"/>
  <sheetViews>
    <sheetView topLeftCell="A52" workbookViewId="0">
      <selection activeCell="J97" sqref="J97"/>
    </sheetView>
  </sheetViews>
  <sheetFormatPr defaultColWidth="9.140625"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13" width="15.7109375" style="4" customWidth="1"/>
    <col min="14" max="14" width="12.28515625" style="4" bestFit="1" customWidth="1"/>
    <col min="15" max="15" width="13.42578125" style="4" bestFit="1" customWidth="1"/>
    <col min="16" max="16" width="12.85546875" style="4" bestFit="1" customWidth="1"/>
    <col min="17" max="16384" width="9.140625" style="4"/>
  </cols>
  <sheetData>
    <row r="1" spans="1:13" s="1" customFormat="1" ht="18.75" x14ac:dyDescent="0.25">
      <c r="A1" s="154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s="1" customFormat="1" ht="15" x14ac:dyDescent="0.25">
      <c r="A2" s="156" t="s">
        <v>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</row>
    <row r="3" spans="1:13" s="1" customFormat="1" ht="15" x14ac:dyDescent="0.25">
      <c r="A3" s="157" t="s">
        <v>624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</row>
    <row r="4" spans="1:13" s="1" customFormat="1" ht="15" x14ac:dyDescent="0.25">
      <c r="A4" s="156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</row>
    <row r="5" spans="1:13" s="1" customFormat="1" ht="15" x14ac:dyDescent="0.25">
      <c r="A5" s="159" t="s">
        <v>2</v>
      </c>
      <c r="B5" s="160"/>
      <c r="C5" s="160"/>
      <c r="D5" s="161"/>
      <c r="E5" s="162" t="s">
        <v>3</v>
      </c>
      <c r="F5" s="160"/>
      <c r="G5" s="160"/>
      <c r="H5" s="160"/>
      <c r="I5" s="160"/>
      <c r="J5" s="160"/>
      <c r="K5" s="160"/>
      <c r="L5" s="161"/>
      <c r="M5" s="161"/>
    </row>
    <row r="6" spans="1:13" s="1" customFormat="1" ht="15" x14ac:dyDescent="0.25">
      <c r="A6" s="164"/>
      <c r="B6" s="162"/>
      <c r="C6" s="162"/>
      <c r="D6" s="162"/>
      <c r="E6" s="164" t="s">
        <v>4</v>
      </c>
      <c r="F6" s="162"/>
      <c r="G6" s="162"/>
      <c r="H6" s="162"/>
      <c r="I6" s="165" t="s">
        <v>5</v>
      </c>
      <c r="J6" s="166"/>
      <c r="K6" s="162"/>
      <c r="L6" s="167" t="s">
        <v>6</v>
      </c>
      <c r="M6" s="168"/>
    </row>
    <row r="7" spans="1:13" ht="25.5" x14ac:dyDescent="0.25">
      <c r="A7" s="2" t="s">
        <v>7</v>
      </c>
      <c r="B7" s="169" t="s">
        <v>8</v>
      </c>
      <c r="C7" s="169"/>
      <c r="D7" s="169"/>
      <c r="E7" s="3" t="s">
        <v>9</v>
      </c>
      <c r="F7" s="2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K7" s="2" t="s">
        <v>15</v>
      </c>
      <c r="L7" s="3" t="s">
        <v>16</v>
      </c>
      <c r="M7" s="3" t="s">
        <v>17</v>
      </c>
    </row>
    <row r="8" spans="1:13" x14ac:dyDescent="0.25">
      <c r="A8" s="5" t="s">
        <v>18</v>
      </c>
      <c r="B8" s="170" t="s">
        <v>19</v>
      </c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2"/>
    </row>
    <row r="9" spans="1:13" x14ac:dyDescent="0.25">
      <c r="A9" s="6" t="s">
        <v>20</v>
      </c>
      <c r="B9" s="173" t="s">
        <v>21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</row>
    <row r="10" spans="1:13" x14ac:dyDescent="0.25">
      <c r="A10" s="8" t="s">
        <v>22</v>
      </c>
      <c r="B10" s="9" t="s">
        <v>23</v>
      </c>
      <c r="C10" s="8"/>
      <c r="D10" s="8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</row>
    <row r="11" spans="1:13" x14ac:dyDescent="0.25">
      <c r="A11" s="163" t="s">
        <v>24</v>
      </c>
      <c r="B11" s="163"/>
      <c r="C11" s="163"/>
      <c r="D11" s="163"/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 x14ac:dyDescent="0.25">
      <c r="A12" s="6" t="s">
        <v>25</v>
      </c>
      <c r="B12" s="173" t="s">
        <v>26</v>
      </c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</row>
    <row r="13" spans="1:13" x14ac:dyDescent="0.25">
      <c r="A13" s="8" t="s">
        <v>27</v>
      </c>
      <c r="B13" s="9" t="s">
        <v>28</v>
      </c>
      <c r="C13" s="8"/>
      <c r="D13" s="8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</row>
    <row r="14" spans="1:13" x14ac:dyDescent="0.25">
      <c r="A14" s="163" t="s">
        <v>29</v>
      </c>
      <c r="B14" s="163"/>
      <c r="C14" s="163"/>
      <c r="D14" s="163"/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13" x14ac:dyDescent="0.25">
      <c r="A15" s="6" t="s">
        <v>30</v>
      </c>
      <c r="B15" s="173" t="s">
        <v>31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</row>
    <row r="16" spans="1:13" x14ac:dyDescent="0.25">
      <c r="A16" s="8" t="s">
        <v>32</v>
      </c>
      <c r="B16" s="9" t="s">
        <v>33</v>
      </c>
      <c r="C16" s="8"/>
      <c r="D16" s="8"/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</row>
    <row r="17" spans="1:16" x14ac:dyDescent="0.25">
      <c r="A17" s="8" t="s">
        <v>34</v>
      </c>
      <c r="B17" s="9" t="s">
        <v>35</v>
      </c>
      <c r="C17" s="8"/>
      <c r="D17" s="8"/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</row>
    <row r="18" spans="1:16" x14ac:dyDescent="0.25">
      <c r="A18" s="163" t="s">
        <v>36</v>
      </c>
      <c r="B18" s="163"/>
      <c r="C18" s="163"/>
      <c r="D18" s="163"/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</row>
    <row r="19" spans="1:16" x14ac:dyDescent="0.25">
      <c r="A19" s="6" t="s">
        <v>37</v>
      </c>
      <c r="B19" s="173" t="s">
        <v>38</v>
      </c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</row>
    <row r="20" spans="1:16" x14ac:dyDescent="0.25">
      <c r="A20" s="8" t="s">
        <v>39</v>
      </c>
      <c r="B20" s="9" t="s">
        <v>40</v>
      </c>
      <c r="C20" s="8"/>
      <c r="D20" s="8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</row>
    <row r="21" spans="1:16" x14ac:dyDescent="0.25">
      <c r="A21" s="8" t="s">
        <v>41</v>
      </c>
      <c r="B21" s="9" t="s">
        <v>42</v>
      </c>
      <c r="C21" s="8"/>
      <c r="D21" s="8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</row>
    <row r="22" spans="1:16" x14ac:dyDescent="0.25">
      <c r="A22" s="8" t="s">
        <v>43</v>
      </c>
      <c r="B22" s="9" t="s">
        <v>44</v>
      </c>
      <c r="C22" s="8"/>
      <c r="D22" s="8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</row>
    <row r="23" spans="1:16" x14ac:dyDescent="0.25">
      <c r="A23" s="163" t="s">
        <v>45</v>
      </c>
      <c r="B23" s="163"/>
      <c r="C23" s="163"/>
      <c r="D23" s="163"/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</row>
    <row r="24" spans="1:16" x14ac:dyDescent="0.25">
      <c r="A24" s="6" t="s">
        <v>46</v>
      </c>
      <c r="B24" s="173" t="s">
        <v>47</v>
      </c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</row>
    <row r="25" spans="1:16" x14ac:dyDescent="0.25">
      <c r="A25" s="8" t="s">
        <v>48</v>
      </c>
      <c r="B25" s="9" t="s">
        <v>49</v>
      </c>
      <c r="C25" s="8"/>
      <c r="D25" s="8"/>
      <c r="E25" s="10">
        <v>9000000</v>
      </c>
      <c r="F25" s="10">
        <v>0</v>
      </c>
      <c r="G25" s="10">
        <v>0</v>
      </c>
      <c r="H25" s="10">
        <v>9000000</v>
      </c>
      <c r="I25" s="10">
        <v>7028314</v>
      </c>
      <c r="J25" s="10">
        <f>K25-I25</f>
        <v>0</v>
      </c>
      <c r="K25" s="10">
        <v>7028314</v>
      </c>
      <c r="L25" s="10">
        <v>0</v>
      </c>
      <c r="M25" s="10">
        <f>K25-H25</f>
        <v>-1971686</v>
      </c>
    </row>
    <row r="26" spans="1:16" ht="25.5" x14ac:dyDescent="0.25">
      <c r="A26" s="8" t="s">
        <v>50</v>
      </c>
      <c r="B26" s="9" t="s">
        <v>51</v>
      </c>
      <c r="C26" s="8"/>
      <c r="D26" s="8"/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f t="shared" ref="J26:J30" si="0">K26-I26</f>
        <v>0</v>
      </c>
      <c r="K26" s="10">
        <f t="shared" ref="K26:K30" si="1">I26</f>
        <v>0</v>
      </c>
      <c r="L26" s="10">
        <v>0</v>
      </c>
      <c r="M26" s="10">
        <f t="shared" ref="M26:M30" si="2">K26-H26</f>
        <v>0</v>
      </c>
    </row>
    <row r="27" spans="1:16" ht="25.5" x14ac:dyDescent="0.25">
      <c r="A27" s="8" t="s">
        <v>52</v>
      </c>
      <c r="B27" s="9" t="s">
        <v>53</v>
      </c>
      <c r="C27" s="8"/>
      <c r="D27" s="8"/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f t="shared" si="0"/>
        <v>0</v>
      </c>
      <c r="K27" s="10">
        <f t="shared" si="1"/>
        <v>0</v>
      </c>
      <c r="L27" s="10">
        <v>0</v>
      </c>
      <c r="M27" s="10">
        <f t="shared" si="2"/>
        <v>0</v>
      </c>
    </row>
    <row r="28" spans="1:16" x14ac:dyDescent="0.25">
      <c r="A28" s="8" t="s">
        <v>54</v>
      </c>
      <c r="B28" s="9" t="s">
        <v>55</v>
      </c>
      <c r="C28" s="8"/>
      <c r="D28" s="8"/>
      <c r="E28" s="10">
        <v>5000000</v>
      </c>
      <c r="F28" s="10">
        <v>0</v>
      </c>
      <c r="G28" s="10">
        <v>0</v>
      </c>
      <c r="H28" s="10">
        <v>5000000</v>
      </c>
      <c r="I28" s="10">
        <f>ROUND(3788133.53,0)</f>
        <v>3788134</v>
      </c>
      <c r="J28" s="10">
        <f t="shared" si="0"/>
        <v>0</v>
      </c>
      <c r="K28" s="10">
        <f>ROUND(3788133.53,0)</f>
        <v>3788134</v>
      </c>
      <c r="L28" s="10">
        <v>0</v>
      </c>
      <c r="M28" s="10">
        <f t="shared" si="2"/>
        <v>-1211866</v>
      </c>
    </row>
    <row r="29" spans="1:16" ht="25.5" x14ac:dyDescent="0.25">
      <c r="A29" s="8" t="s">
        <v>56</v>
      </c>
      <c r="B29" s="9" t="s">
        <v>57</v>
      </c>
      <c r="C29" s="8"/>
      <c r="D29" s="8"/>
      <c r="E29" s="10">
        <v>63790</v>
      </c>
      <c r="F29" s="10">
        <v>36210</v>
      </c>
      <c r="G29" s="10">
        <v>0</v>
      </c>
      <c r="H29" s="10">
        <f>E29+F29</f>
        <v>100000</v>
      </c>
      <c r="I29" s="10">
        <f>ROUND(74572,0)</f>
        <v>74572</v>
      </c>
      <c r="J29" s="10">
        <f t="shared" si="0"/>
        <v>8860</v>
      </c>
      <c r="K29" s="10">
        <f>ROUND(83432,0)</f>
        <v>83432</v>
      </c>
      <c r="L29" s="10">
        <v>0</v>
      </c>
      <c r="M29" s="10">
        <f t="shared" si="2"/>
        <v>-16568</v>
      </c>
    </row>
    <row r="30" spans="1:16" ht="25.5" x14ac:dyDescent="0.25">
      <c r="A30" s="8" t="s">
        <v>58</v>
      </c>
      <c r="B30" s="9" t="s">
        <v>59</v>
      </c>
      <c r="C30" s="8"/>
      <c r="D30" s="8"/>
      <c r="E30" s="10">
        <v>50000</v>
      </c>
      <c r="F30" s="10">
        <v>50000</v>
      </c>
      <c r="G30" s="10">
        <v>0</v>
      </c>
      <c r="H30" s="10">
        <f>E30+F30</f>
        <v>100000</v>
      </c>
      <c r="I30" s="10">
        <f>ROUND(76776,0)</f>
        <v>76776</v>
      </c>
      <c r="J30" s="10">
        <f t="shared" si="0"/>
        <v>0</v>
      </c>
      <c r="K30" s="10">
        <f t="shared" si="1"/>
        <v>76776</v>
      </c>
      <c r="L30" s="10"/>
      <c r="M30" s="10">
        <f t="shared" si="2"/>
        <v>-23224</v>
      </c>
    </row>
    <row r="31" spans="1:16" x14ac:dyDescent="0.25">
      <c r="A31" s="163" t="s">
        <v>60</v>
      </c>
      <c r="B31" s="163"/>
      <c r="C31" s="163"/>
      <c r="D31" s="163"/>
      <c r="E31" s="11">
        <f>SUM(E25:E30)</f>
        <v>14113790</v>
      </c>
      <c r="F31" s="11">
        <f>SUM(F25:F30)</f>
        <v>86210</v>
      </c>
      <c r="G31" s="11">
        <v>0</v>
      </c>
      <c r="H31" s="11">
        <f t="shared" ref="H31:M31" si="3">SUM(H25:H30)</f>
        <v>14200000</v>
      </c>
      <c r="I31" s="11">
        <f t="shared" si="3"/>
        <v>10967796</v>
      </c>
      <c r="J31" s="11">
        <f t="shared" si="3"/>
        <v>8860</v>
      </c>
      <c r="K31" s="11">
        <f t="shared" si="3"/>
        <v>10976656</v>
      </c>
      <c r="L31" s="11">
        <f t="shared" si="3"/>
        <v>0</v>
      </c>
      <c r="M31" s="11">
        <f t="shared" si="3"/>
        <v>-3223344</v>
      </c>
      <c r="O31" s="18"/>
      <c r="P31" s="18"/>
    </row>
    <row r="32" spans="1:16" x14ac:dyDescent="0.25">
      <c r="A32" s="6" t="s">
        <v>61</v>
      </c>
      <c r="B32" s="173" t="s">
        <v>62</v>
      </c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</row>
    <row r="33" spans="1:13" ht="25.5" x14ac:dyDescent="0.25">
      <c r="A33" s="8" t="s">
        <v>63</v>
      </c>
      <c r="B33" s="9" t="s">
        <v>64</v>
      </c>
      <c r="C33" s="8"/>
      <c r="D33" s="8"/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 x14ac:dyDescent="0.25">
      <c r="A34" s="163" t="s">
        <v>65</v>
      </c>
      <c r="B34" s="163"/>
      <c r="C34" s="163"/>
      <c r="D34" s="163"/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 x14ac:dyDescent="0.25">
      <c r="A35" s="6" t="s">
        <v>66</v>
      </c>
      <c r="B35" s="173" t="s">
        <v>67</v>
      </c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</row>
    <row r="36" spans="1:13" ht="25.5" x14ac:dyDescent="0.25">
      <c r="A36" s="8" t="s">
        <v>68</v>
      </c>
      <c r="B36" s="9" t="s">
        <v>69</v>
      </c>
      <c r="C36" s="8"/>
      <c r="D36" s="8"/>
      <c r="E36" s="10">
        <v>3189183</v>
      </c>
      <c r="F36" s="10">
        <v>0</v>
      </c>
      <c r="G36" s="10">
        <v>0</v>
      </c>
      <c r="H36" s="10">
        <f>E36</f>
        <v>3189183</v>
      </c>
      <c r="I36" s="10">
        <f>ROUND(5836318.19,0)</f>
        <v>5836318</v>
      </c>
      <c r="J36" s="10">
        <f t="shared" ref="J36:J39" si="4">K36-I36</f>
        <v>89924</v>
      </c>
      <c r="K36" s="10">
        <f>ROUND(5926242.28,0)</f>
        <v>5926242</v>
      </c>
      <c r="L36" s="10">
        <f>K36-H36</f>
        <v>2737059</v>
      </c>
      <c r="M36" s="10">
        <v>0</v>
      </c>
    </row>
    <row r="37" spans="1:13" ht="25.5" x14ac:dyDescent="0.25">
      <c r="A37" s="8" t="s">
        <v>70</v>
      </c>
      <c r="B37" s="9" t="s">
        <v>71</v>
      </c>
      <c r="C37" s="8"/>
      <c r="D37" s="8"/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f t="shared" si="4"/>
        <v>0</v>
      </c>
      <c r="K37" s="10">
        <v>0</v>
      </c>
      <c r="L37" s="10">
        <f t="shared" ref="L37" si="5">K37-H37</f>
        <v>0</v>
      </c>
      <c r="M37" s="10">
        <v>0</v>
      </c>
    </row>
    <row r="38" spans="1:13" x14ac:dyDescent="0.25">
      <c r="A38" s="8" t="s">
        <v>72</v>
      </c>
      <c r="B38" s="9" t="s">
        <v>73</v>
      </c>
      <c r="C38" s="8"/>
      <c r="D38" s="8"/>
      <c r="E38" s="10">
        <v>1000</v>
      </c>
      <c r="F38" s="10">
        <v>0</v>
      </c>
      <c r="G38" s="10">
        <v>0</v>
      </c>
      <c r="H38" s="10">
        <v>1000</v>
      </c>
      <c r="I38" s="10">
        <f>ROUND(8.59,0)</f>
        <v>9</v>
      </c>
      <c r="J38" s="10">
        <f t="shared" si="4"/>
        <v>0</v>
      </c>
      <c r="K38" s="10">
        <f>ROUND(8.59,0)</f>
        <v>9</v>
      </c>
      <c r="L38" s="10">
        <v>0</v>
      </c>
      <c r="M38" s="10">
        <f>K38-H38</f>
        <v>-991</v>
      </c>
    </row>
    <row r="39" spans="1:13" x14ac:dyDescent="0.25">
      <c r="A39" s="8" t="s">
        <v>74</v>
      </c>
      <c r="B39" s="9" t="s">
        <v>75</v>
      </c>
      <c r="C39" s="8"/>
      <c r="D39" s="8"/>
      <c r="E39" s="10">
        <v>0</v>
      </c>
      <c r="F39" s="10">
        <v>50000</v>
      </c>
      <c r="G39" s="10">
        <v>0</v>
      </c>
      <c r="H39" s="10">
        <f>E39+F39-G39</f>
        <v>50000</v>
      </c>
      <c r="I39" s="10">
        <f>ROUND(41943.59,0)</f>
        <v>41944</v>
      </c>
      <c r="J39" s="10">
        <f t="shared" si="4"/>
        <v>637</v>
      </c>
      <c r="K39" s="10">
        <f>ROUND(42580.87,0)</f>
        <v>42581</v>
      </c>
      <c r="L39" s="10">
        <v>0</v>
      </c>
      <c r="M39" s="10">
        <f>K39-H39</f>
        <v>-7419</v>
      </c>
    </row>
    <row r="40" spans="1:13" x14ac:dyDescent="0.25">
      <c r="A40" s="163" t="s">
        <v>76</v>
      </c>
      <c r="B40" s="163"/>
      <c r="C40" s="163"/>
      <c r="D40" s="163"/>
      <c r="E40" s="11">
        <f>SUM(E36:E39)</f>
        <v>3190183</v>
      </c>
      <c r="F40" s="11">
        <f t="shared" ref="F40:H40" si="6">SUM(F36:F39)</f>
        <v>50000</v>
      </c>
      <c r="G40" s="11">
        <f t="shared" si="6"/>
        <v>0</v>
      </c>
      <c r="H40" s="11">
        <f t="shared" si="6"/>
        <v>3240183</v>
      </c>
      <c r="I40" s="11">
        <f>SUM(I36:I39)</f>
        <v>5878271</v>
      </c>
      <c r="J40" s="11">
        <f>SUM(J36:J39)</f>
        <v>90561</v>
      </c>
      <c r="K40" s="11">
        <f>SUM(K36:K39)</f>
        <v>5968832</v>
      </c>
      <c r="L40" s="11">
        <f>SUM(L36:L39)</f>
        <v>2737059</v>
      </c>
      <c r="M40" s="11">
        <f>SUM(M36:M39)</f>
        <v>-8410</v>
      </c>
    </row>
    <row r="41" spans="1:13" s="85" customFormat="1" x14ac:dyDescent="0.25">
      <c r="A41" s="84" t="s">
        <v>77</v>
      </c>
      <c r="B41" s="175" t="s">
        <v>78</v>
      </c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</row>
    <row r="42" spans="1:13" x14ac:dyDescent="0.25">
      <c r="A42" s="8" t="s">
        <v>79</v>
      </c>
      <c r="B42" s="9" t="s">
        <v>80</v>
      </c>
      <c r="C42" s="8"/>
      <c r="D42" s="8"/>
      <c r="E42" s="10">
        <v>15000</v>
      </c>
      <c r="F42" s="10">
        <v>35000</v>
      </c>
      <c r="G42" s="10">
        <v>0</v>
      </c>
      <c r="H42" s="10">
        <f>E42+F42</f>
        <v>50000</v>
      </c>
      <c r="I42" s="10">
        <f>ROUND(38014.25,0)</f>
        <v>38014</v>
      </c>
      <c r="J42" s="10">
        <f t="shared" ref="J42:J43" si="7">K42-I42</f>
        <v>17103</v>
      </c>
      <c r="K42" s="10">
        <f>ROUND(55117.34,0)</f>
        <v>55117</v>
      </c>
      <c r="L42" s="10">
        <f t="shared" ref="L42:L43" si="8">K42-H42</f>
        <v>5117</v>
      </c>
      <c r="M42" s="10">
        <v>0</v>
      </c>
    </row>
    <row r="43" spans="1:13" ht="38.25" x14ac:dyDescent="0.25">
      <c r="A43" s="8" t="s">
        <v>81</v>
      </c>
      <c r="B43" s="9" t="s">
        <v>82</v>
      </c>
      <c r="C43" s="8"/>
      <c r="D43" s="8"/>
      <c r="E43" s="10">
        <v>0</v>
      </c>
      <c r="F43" s="10">
        <v>6556103</v>
      </c>
      <c r="G43" s="10">
        <v>0</v>
      </c>
      <c r="H43" s="10">
        <f>E43+F43</f>
        <v>6556103</v>
      </c>
      <c r="I43" s="10">
        <f>ROUND(6556102.9,0)</f>
        <v>6556103</v>
      </c>
      <c r="J43" s="10">
        <f t="shared" si="7"/>
        <v>0</v>
      </c>
      <c r="K43" s="10">
        <f>ROUND(6556102.9,0)</f>
        <v>6556103</v>
      </c>
      <c r="L43" s="10">
        <f t="shared" si="8"/>
        <v>0</v>
      </c>
      <c r="M43" s="10">
        <v>0</v>
      </c>
    </row>
    <row r="44" spans="1:13" x14ac:dyDescent="0.25">
      <c r="A44" s="163" t="s">
        <v>83</v>
      </c>
      <c r="B44" s="163"/>
      <c r="C44" s="163"/>
      <c r="D44" s="163"/>
      <c r="E44" s="11">
        <v>15000</v>
      </c>
      <c r="F44" s="11">
        <f>SUM(F42:F43)</f>
        <v>6591103</v>
      </c>
      <c r="G44" s="11">
        <v>0</v>
      </c>
      <c r="H44" s="11">
        <f>SUM(H42:H43)</f>
        <v>6606103</v>
      </c>
      <c r="I44" s="11">
        <f>SUM(I42:I43)</f>
        <v>6594117</v>
      </c>
      <c r="J44" s="11">
        <f t="shared" ref="J44:K44" si="9">SUM(J42:J43)</f>
        <v>17103</v>
      </c>
      <c r="K44" s="11">
        <f t="shared" si="9"/>
        <v>6611220</v>
      </c>
      <c r="L44" s="11">
        <f>SUM(L42:L43)</f>
        <v>5117</v>
      </c>
      <c r="M44" s="11">
        <v>0</v>
      </c>
    </row>
    <row r="45" spans="1:13" x14ac:dyDescent="0.25">
      <c r="A45" s="6" t="s">
        <v>84</v>
      </c>
      <c r="B45" s="173" t="s">
        <v>85</v>
      </c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</row>
    <row r="46" spans="1:13" ht="51" x14ac:dyDescent="0.25">
      <c r="A46" s="8" t="s">
        <v>86</v>
      </c>
      <c r="B46" s="9" t="s">
        <v>87</v>
      </c>
      <c r="C46" s="8"/>
      <c r="D46" s="8"/>
      <c r="E46" s="10">
        <v>35000</v>
      </c>
      <c r="F46" s="10">
        <v>51500</v>
      </c>
      <c r="G46" s="10">
        <v>0</v>
      </c>
      <c r="H46" s="10">
        <f>E46+F46</f>
        <v>86500</v>
      </c>
      <c r="I46" s="10">
        <f>ROUND(86106.27,0)</f>
        <v>86106</v>
      </c>
      <c r="J46" s="10">
        <v>0</v>
      </c>
      <c r="K46" s="10">
        <f>ROUND(86106.27,0)</f>
        <v>86106</v>
      </c>
      <c r="L46" s="10">
        <v>0</v>
      </c>
      <c r="M46" s="10">
        <f>K46-H46</f>
        <v>-394</v>
      </c>
    </row>
    <row r="47" spans="1:13" x14ac:dyDescent="0.25">
      <c r="A47" s="8" t="s">
        <v>88</v>
      </c>
      <c r="B47" s="9" t="s">
        <v>89</v>
      </c>
      <c r="C47" s="8"/>
      <c r="D47" s="8"/>
      <c r="E47" s="10">
        <v>20592</v>
      </c>
      <c r="F47" s="10">
        <v>279408</v>
      </c>
      <c r="G47" s="10">
        <v>0</v>
      </c>
      <c r="H47" s="10">
        <f>E47+F47</f>
        <v>300000</v>
      </c>
      <c r="I47" s="10">
        <f>ROUND(296670,0)</f>
        <v>296670</v>
      </c>
      <c r="J47" s="10">
        <v>0</v>
      </c>
      <c r="K47" s="10">
        <f>ROUND(296670,0)</f>
        <v>296670</v>
      </c>
      <c r="L47" s="10">
        <v>0</v>
      </c>
      <c r="M47" s="10">
        <f>K47-H47</f>
        <v>-3330</v>
      </c>
    </row>
    <row r="48" spans="1:13" x14ac:dyDescent="0.25">
      <c r="A48" s="163" t="s">
        <v>90</v>
      </c>
      <c r="B48" s="163"/>
      <c r="C48" s="163"/>
      <c r="D48" s="163"/>
      <c r="E48" s="11">
        <f>SUM(E46:E47)</f>
        <v>55592</v>
      </c>
      <c r="F48" s="11">
        <f t="shared" ref="F48:H48" si="10">SUM(F46:F47)</f>
        <v>330908</v>
      </c>
      <c r="G48" s="11">
        <f t="shared" si="10"/>
        <v>0</v>
      </c>
      <c r="H48" s="11">
        <f t="shared" si="10"/>
        <v>386500</v>
      </c>
      <c r="I48" s="11">
        <f>SUM(I46:I47)</f>
        <v>382776</v>
      </c>
      <c r="J48" s="11">
        <v>0</v>
      </c>
      <c r="K48" s="11">
        <f>SUM(K46:K47)</f>
        <v>382776</v>
      </c>
      <c r="L48" s="86">
        <v>0</v>
      </c>
      <c r="M48" s="11">
        <f>SUM(M46:M47)</f>
        <v>-3724</v>
      </c>
    </row>
    <row r="49" spans="1:16" x14ac:dyDescent="0.25">
      <c r="A49" s="163" t="s">
        <v>91</v>
      </c>
      <c r="B49" s="163"/>
      <c r="C49" s="163"/>
      <c r="D49" s="163"/>
      <c r="E49" s="11">
        <f>E48+E44+E40+E34+E31+E23+E18+E14+E11</f>
        <v>17374565</v>
      </c>
      <c r="F49" s="11">
        <f t="shared" ref="F49:H49" si="11">F48+F44+F40+F34+F31+F23+F18+F14+F11</f>
        <v>7058221</v>
      </c>
      <c r="G49" s="11">
        <f t="shared" si="11"/>
        <v>0</v>
      </c>
      <c r="H49" s="11">
        <f t="shared" si="11"/>
        <v>24432786</v>
      </c>
      <c r="I49" s="11">
        <f>I14+I18+I23+I31+I34+I40+I44+I48</f>
        <v>23822960</v>
      </c>
      <c r="J49" s="11">
        <f t="shared" ref="J49:K49" si="12">J14+J18+J23+J31+J34+J40+J44+J48</f>
        <v>116524</v>
      </c>
      <c r="K49" s="11">
        <f t="shared" si="12"/>
        <v>23939484</v>
      </c>
      <c r="L49" s="11">
        <f>L14+L18+L23+L31+L34+L40+L44</f>
        <v>2742176</v>
      </c>
      <c r="M49" s="11">
        <f>M14+M18+M23+M31+M34+M40+M44+M48</f>
        <v>-3235478</v>
      </c>
      <c r="N49" s="18"/>
      <c r="O49" s="18"/>
      <c r="P49" s="18"/>
    </row>
    <row r="50" spans="1:16" x14ac:dyDescent="0.25">
      <c r="A50" s="5" t="s">
        <v>92</v>
      </c>
      <c r="B50" s="170" t="s">
        <v>93</v>
      </c>
      <c r="C50" s="171"/>
      <c r="D50" s="171"/>
      <c r="E50" s="171"/>
      <c r="F50" s="171"/>
      <c r="G50" s="171"/>
      <c r="H50" s="171"/>
      <c r="I50" s="171"/>
      <c r="J50" s="171"/>
      <c r="K50" s="171"/>
      <c r="L50" s="171"/>
      <c r="M50" s="172"/>
    </row>
    <row r="51" spans="1:16" x14ac:dyDescent="0.25">
      <c r="A51" s="6" t="s">
        <v>94</v>
      </c>
      <c r="B51" s="173" t="s">
        <v>95</v>
      </c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</row>
    <row r="52" spans="1:16" x14ac:dyDescent="0.25">
      <c r="A52" s="8" t="s">
        <v>96</v>
      </c>
      <c r="B52" s="9" t="s">
        <v>97</v>
      </c>
      <c r="C52" s="8"/>
      <c r="D52" s="8"/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</row>
    <row r="53" spans="1:16" x14ac:dyDescent="0.25">
      <c r="A53" s="8" t="s">
        <v>98</v>
      </c>
      <c r="B53" s="9" t="s">
        <v>99</v>
      </c>
      <c r="C53" s="8"/>
      <c r="D53" s="8"/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</row>
    <row r="54" spans="1:16" x14ac:dyDescent="0.25">
      <c r="A54" s="163" t="s">
        <v>100</v>
      </c>
      <c r="B54" s="163"/>
      <c r="C54" s="163"/>
      <c r="D54" s="163"/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</row>
    <row r="55" spans="1:16" x14ac:dyDescent="0.25">
      <c r="A55" s="6" t="s">
        <v>101</v>
      </c>
      <c r="B55" s="173" t="s">
        <v>102</v>
      </c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</row>
    <row r="56" spans="1:16" x14ac:dyDescent="0.25">
      <c r="A56" s="8" t="s">
        <v>103</v>
      </c>
      <c r="B56" s="9" t="s">
        <v>104</v>
      </c>
      <c r="C56" s="8"/>
      <c r="D56" s="8"/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</row>
    <row r="57" spans="1:16" x14ac:dyDescent="0.25">
      <c r="A57" s="8" t="s">
        <v>105</v>
      </c>
      <c r="B57" s="9" t="s">
        <v>106</v>
      </c>
      <c r="C57" s="8"/>
      <c r="D57" s="8"/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</row>
    <row r="58" spans="1:16" x14ac:dyDescent="0.25">
      <c r="A58" s="163" t="s">
        <v>107</v>
      </c>
      <c r="B58" s="163"/>
      <c r="C58" s="163"/>
      <c r="D58" s="163"/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</row>
    <row r="59" spans="1:16" x14ac:dyDescent="0.25">
      <c r="A59" s="6" t="s">
        <v>108</v>
      </c>
      <c r="B59" s="173" t="s">
        <v>109</v>
      </c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</row>
    <row r="60" spans="1:16" ht="25.5" x14ac:dyDescent="0.25">
      <c r="A60" s="8" t="s">
        <v>110</v>
      </c>
      <c r="B60" s="9" t="s">
        <v>111</v>
      </c>
      <c r="C60" s="8"/>
      <c r="D60" s="8"/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</row>
    <row r="61" spans="1:16" x14ac:dyDescent="0.25">
      <c r="A61" s="163" t="s">
        <v>112</v>
      </c>
      <c r="B61" s="163"/>
      <c r="C61" s="163"/>
      <c r="D61" s="163"/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</row>
    <row r="62" spans="1:16" x14ac:dyDescent="0.25">
      <c r="A62" s="6" t="s">
        <v>113</v>
      </c>
      <c r="B62" s="173" t="s">
        <v>114</v>
      </c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</row>
    <row r="63" spans="1:16" ht="25.5" x14ac:dyDescent="0.25">
      <c r="A63" s="8" t="s">
        <v>115</v>
      </c>
      <c r="B63" s="9" t="s">
        <v>116</v>
      </c>
      <c r="C63" s="8"/>
      <c r="D63" s="8"/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</row>
    <row r="64" spans="1:16" x14ac:dyDescent="0.25">
      <c r="A64" s="8" t="s">
        <v>117</v>
      </c>
      <c r="B64" s="9" t="s">
        <v>118</v>
      </c>
      <c r="C64" s="8"/>
      <c r="D64" s="8"/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</row>
    <row r="65" spans="1:15" x14ac:dyDescent="0.25">
      <c r="A65" s="163" t="s">
        <v>119</v>
      </c>
      <c r="B65" s="163"/>
      <c r="C65" s="163"/>
      <c r="D65" s="163"/>
      <c r="E65" s="11">
        <v>0</v>
      </c>
      <c r="F65" s="11">
        <v>0</v>
      </c>
      <c r="G65" s="11">
        <v>0</v>
      </c>
      <c r="H65" s="11">
        <v>0</v>
      </c>
      <c r="I65" s="11">
        <f>SUM(I63:I64)</f>
        <v>0</v>
      </c>
      <c r="J65" s="11">
        <f t="shared" ref="J65:L65" si="13">SUM(J63:J64)</f>
        <v>0</v>
      </c>
      <c r="K65" s="11">
        <f t="shared" si="13"/>
        <v>0</v>
      </c>
      <c r="L65" s="11">
        <f t="shared" si="13"/>
        <v>0</v>
      </c>
      <c r="M65" s="11">
        <v>0</v>
      </c>
    </row>
    <row r="66" spans="1:15" x14ac:dyDescent="0.25">
      <c r="A66" s="6" t="s">
        <v>120</v>
      </c>
      <c r="B66" s="173" t="s">
        <v>121</v>
      </c>
      <c r="C66" s="174"/>
      <c r="D66" s="174"/>
      <c r="E66" s="174"/>
      <c r="F66" s="174"/>
      <c r="G66" s="174"/>
      <c r="H66" s="174"/>
      <c r="I66" s="174"/>
      <c r="J66" s="174"/>
      <c r="K66" s="174"/>
      <c r="L66" s="174"/>
      <c r="M66" s="174"/>
    </row>
    <row r="67" spans="1:15" ht="25.5" x14ac:dyDescent="0.25">
      <c r="A67" s="8" t="s">
        <v>122</v>
      </c>
      <c r="B67" s="9" t="s">
        <v>123</v>
      </c>
      <c r="C67" s="8"/>
      <c r="D67" s="8"/>
      <c r="E67" s="10">
        <v>105135823</v>
      </c>
      <c r="F67" s="10">
        <v>0</v>
      </c>
      <c r="G67" s="10">
        <v>9705000</v>
      </c>
      <c r="H67" s="10">
        <v>95430823</v>
      </c>
      <c r="I67" s="74">
        <f>ROUND(552317.48,0)</f>
        <v>552317</v>
      </c>
      <c r="J67" s="10">
        <f>K67-I67</f>
        <v>33388480</v>
      </c>
      <c r="K67" s="10">
        <f>ROUND(33940796.59,0)</f>
        <v>33940797</v>
      </c>
      <c r="L67" s="10">
        <v>0</v>
      </c>
      <c r="M67" s="10">
        <f>K67-H67</f>
        <v>-61490026</v>
      </c>
    </row>
    <row r="68" spans="1:15" ht="51" x14ac:dyDescent="0.25">
      <c r="A68" s="8" t="s">
        <v>124</v>
      </c>
      <c r="B68" s="9" t="s">
        <v>125</v>
      </c>
      <c r="C68" s="8"/>
      <c r="D68" s="8"/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</row>
    <row r="69" spans="1:15" x14ac:dyDescent="0.25">
      <c r="A69" s="163" t="s">
        <v>126</v>
      </c>
      <c r="B69" s="163"/>
      <c r="C69" s="163"/>
      <c r="D69" s="163"/>
      <c r="E69" s="11">
        <f>SUM(E67:E68)</f>
        <v>105135823</v>
      </c>
      <c r="F69" s="11">
        <f t="shared" ref="F69:H69" si="14">SUM(F67:F68)</f>
        <v>0</v>
      </c>
      <c r="G69" s="11">
        <f t="shared" si="14"/>
        <v>9705000</v>
      </c>
      <c r="H69" s="11">
        <f t="shared" si="14"/>
        <v>95430823</v>
      </c>
      <c r="I69" s="11">
        <f>SUM(I67:I68)</f>
        <v>552317</v>
      </c>
      <c r="J69" s="11">
        <f t="shared" ref="J69:M69" si="15">SUM(J67:J68)</f>
        <v>33388480</v>
      </c>
      <c r="K69" s="11">
        <f t="shared" si="15"/>
        <v>33940797</v>
      </c>
      <c r="L69" s="11">
        <f t="shared" si="15"/>
        <v>0</v>
      </c>
      <c r="M69" s="11">
        <f t="shared" si="15"/>
        <v>-61490026</v>
      </c>
      <c r="O69" s="18"/>
    </row>
    <row r="70" spans="1:15" x14ac:dyDescent="0.25">
      <c r="A70" s="6" t="s">
        <v>127</v>
      </c>
      <c r="B70" s="173" t="s">
        <v>128</v>
      </c>
      <c r="C70" s="174"/>
      <c r="D70" s="174"/>
      <c r="E70" s="174"/>
      <c r="F70" s="174"/>
      <c r="G70" s="174"/>
      <c r="H70" s="174"/>
      <c r="I70" s="174"/>
      <c r="J70" s="174"/>
      <c r="K70" s="174"/>
      <c r="L70" s="174"/>
      <c r="M70" s="174"/>
    </row>
    <row r="71" spans="1:15" x14ac:dyDescent="0.25">
      <c r="A71" s="8" t="s">
        <v>129</v>
      </c>
      <c r="B71" s="9" t="s">
        <v>28</v>
      </c>
      <c r="C71" s="8"/>
      <c r="D71" s="8"/>
      <c r="E71" s="10">
        <v>0</v>
      </c>
      <c r="F71" s="10">
        <v>0</v>
      </c>
      <c r="G71" s="10">
        <v>0</v>
      </c>
      <c r="H71" s="10">
        <v>0</v>
      </c>
      <c r="I71" s="10">
        <f>ROUND(7631099.41,0)</f>
        <v>7631099</v>
      </c>
      <c r="J71" s="10">
        <f>K71-I71</f>
        <v>2543700</v>
      </c>
      <c r="K71" s="10">
        <f>ROUND(10174799.21,0)</f>
        <v>10174799</v>
      </c>
      <c r="L71" s="10">
        <f t="shared" ref="L71" si="16">K71-H71</f>
        <v>10174799</v>
      </c>
      <c r="M71" s="10">
        <v>0</v>
      </c>
    </row>
    <row r="72" spans="1:15" x14ac:dyDescent="0.25">
      <c r="A72" s="163" t="s">
        <v>130</v>
      </c>
      <c r="B72" s="163"/>
      <c r="C72" s="163"/>
      <c r="D72" s="163"/>
      <c r="E72" s="11">
        <v>0</v>
      </c>
      <c r="F72" s="11">
        <v>0</v>
      </c>
      <c r="G72" s="11">
        <v>0</v>
      </c>
      <c r="H72" s="11">
        <v>0</v>
      </c>
      <c r="I72" s="11">
        <f>I71</f>
        <v>7631099</v>
      </c>
      <c r="J72" s="11">
        <f t="shared" ref="J72:K72" si="17">J71</f>
        <v>2543700</v>
      </c>
      <c r="K72" s="11">
        <f t="shared" si="17"/>
        <v>10174799</v>
      </c>
      <c r="L72" s="11">
        <f>L71</f>
        <v>10174799</v>
      </c>
      <c r="M72" s="11">
        <v>0</v>
      </c>
    </row>
    <row r="73" spans="1:15" x14ac:dyDescent="0.25">
      <c r="A73" s="6" t="s">
        <v>131</v>
      </c>
      <c r="B73" s="173" t="s">
        <v>132</v>
      </c>
      <c r="C73" s="174"/>
      <c r="D73" s="174"/>
      <c r="E73" s="174"/>
      <c r="F73" s="174"/>
      <c r="G73" s="174"/>
      <c r="H73" s="174"/>
      <c r="I73" s="174"/>
      <c r="J73" s="174"/>
      <c r="K73" s="174"/>
      <c r="L73" s="174"/>
      <c r="M73" s="174"/>
    </row>
    <row r="74" spans="1:15" x14ac:dyDescent="0.25">
      <c r="A74" s="8" t="s">
        <v>133</v>
      </c>
      <c r="B74" s="9" t="s">
        <v>134</v>
      </c>
      <c r="C74" s="8"/>
      <c r="D74" s="8"/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</row>
    <row r="75" spans="1:15" x14ac:dyDescent="0.25">
      <c r="A75" s="8" t="s">
        <v>135</v>
      </c>
      <c r="B75" s="9" t="s">
        <v>136</v>
      </c>
      <c r="C75" s="8"/>
      <c r="D75" s="8"/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</row>
    <row r="76" spans="1:15" x14ac:dyDescent="0.25">
      <c r="A76" s="163" t="s">
        <v>137</v>
      </c>
      <c r="B76" s="163"/>
      <c r="C76" s="163"/>
      <c r="D76" s="163"/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</row>
    <row r="77" spans="1:15" x14ac:dyDescent="0.25">
      <c r="A77" s="6" t="s">
        <v>138</v>
      </c>
      <c r="B77" s="173" t="s">
        <v>139</v>
      </c>
      <c r="C77" s="174"/>
      <c r="D77" s="174"/>
      <c r="E77" s="174"/>
      <c r="F77" s="174"/>
      <c r="G77" s="174"/>
      <c r="H77" s="174"/>
      <c r="I77" s="174"/>
      <c r="J77" s="174"/>
      <c r="K77" s="174"/>
      <c r="L77" s="174"/>
      <c r="M77" s="174"/>
    </row>
    <row r="78" spans="1:15" x14ac:dyDescent="0.25">
      <c r="A78" s="8" t="s">
        <v>140</v>
      </c>
      <c r="B78" s="9" t="s">
        <v>141</v>
      </c>
      <c r="C78" s="8"/>
      <c r="D78" s="8"/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 t="shared" ref="M78:M79" si="18">K78-H78</f>
        <v>0</v>
      </c>
    </row>
    <row r="79" spans="1:15" x14ac:dyDescent="0.25">
      <c r="A79" s="8" t="s">
        <v>142</v>
      </c>
      <c r="B79" s="9" t="s">
        <v>44</v>
      </c>
      <c r="C79" s="8"/>
      <c r="D79" s="8"/>
      <c r="E79" s="10">
        <v>0</v>
      </c>
      <c r="F79" s="10">
        <v>38500</v>
      </c>
      <c r="G79" s="10">
        <v>0</v>
      </c>
      <c r="H79" s="10">
        <f>F79</f>
        <v>38500</v>
      </c>
      <c r="I79" s="10">
        <f>ROUND(38406.03,0)</f>
        <v>38406</v>
      </c>
      <c r="J79" s="10">
        <f>K79-I79</f>
        <v>0</v>
      </c>
      <c r="K79" s="10">
        <f>ROUND(38406.03,0)</f>
        <v>38406</v>
      </c>
      <c r="L79" s="10">
        <v>0</v>
      </c>
      <c r="M79" s="10">
        <f t="shared" si="18"/>
        <v>-94</v>
      </c>
    </row>
    <row r="80" spans="1:15" x14ac:dyDescent="0.25">
      <c r="A80" s="163" t="s">
        <v>143</v>
      </c>
      <c r="B80" s="163"/>
      <c r="C80" s="163"/>
      <c r="D80" s="163"/>
      <c r="E80" s="11">
        <v>0</v>
      </c>
      <c r="F80" s="11">
        <f>SUM(F78:F79)</f>
        <v>38500</v>
      </c>
      <c r="G80" s="11">
        <v>0</v>
      </c>
      <c r="H80" s="11">
        <f>SUM(H78:H79)</f>
        <v>38500</v>
      </c>
      <c r="I80" s="11">
        <f>SUM(I78:I79)</f>
        <v>38406</v>
      </c>
      <c r="J80" s="11">
        <f t="shared" ref="J80:M80" si="19">SUM(J78:J79)</f>
        <v>0</v>
      </c>
      <c r="K80" s="11">
        <f t="shared" si="19"/>
        <v>38406</v>
      </c>
      <c r="L80" s="11">
        <f t="shared" si="19"/>
        <v>0</v>
      </c>
      <c r="M80" s="11">
        <f t="shared" si="19"/>
        <v>-94</v>
      </c>
    </row>
    <row r="81" spans="1:15" x14ac:dyDescent="0.25">
      <c r="A81" s="6" t="s">
        <v>144</v>
      </c>
      <c r="B81" s="173" t="s">
        <v>145</v>
      </c>
      <c r="C81" s="174"/>
      <c r="D81" s="174"/>
      <c r="E81" s="174"/>
      <c r="F81" s="174"/>
      <c r="G81" s="174"/>
      <c r="H81" s="174"/>
      <c r="I81" s="174"/>
      <c r="J81" s="174"/>
      <c r="K81" s="174"/>
      <c r="L81" s="174"/>
      <c r="M81" s="174"/>
    </row>
    <row r="82" spans="1:15" x14ac:dyDescent="0.25">
      <c r="A82" s="8" t="s">
        <v>146</v>
      </c>
      <c r="B82" s="9" t="s">
        <v>147</v>
      </c>
      <c r="C82" s="8"/>
      <c r="D82" s="8"/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</row>
    <row r="83" spans="1:15" x14ac:dyDescent="0.25">
      <c r="A83" s="163" t="s">
        <v>148</v>
      </c>
      <c r="B83" s="163"/>
      <c r="C83" s="163"/>
      <c r="D83" s="163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</row>
    <row r="84" spans="1:15" x14ac:dyDescent="0.25">
      <c r="A84" s="6" t="s">
        <v>149</v>
      </c>
      <c r="B84" s="173" t="s">
        <v>150</v>
      </c>
      <c r="C84" s="174"/>
      <c r="D84" s="174"/>
      <c r="E84" s="174"/>
      <c r="F84" s="174"/>
      <c r="G84" s="174"/>
      <c r="H84" s="174"/>
      <c r="I84" s="174"/>
      <c r="J84" s="174"/>
      <c r="K84" s="174"/>
      <c r="L84" s="174"/>
      <c r="M84" s="174"/>
    </row>
    <row r="85" spans="1:15" x14ac:dyDescent="0.25">
      <c r="A85" s="8" t="s">
        <v>151</v>
      </c>
      <c r="B85" s="9" t="s">
        <v>152</v>
      </c>
      <c r="C85" s="8"/>
      <c r="D85" s="8"/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</row>
    <row r="86" spans="1:15" x14ac:dyDescent="0.25">
      <c r="A86" s="8" t="s">
        <v>153</v>
      </c>
      <c r="B86" s="9" t="s">
        <v>154</v>
      </c>
      <c r="C86" s="8"/>
      <c r="D86" s="8"/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</row>
    <row r="87" spans="1:15" x14ac:dyDescent="0.25">
      <c r="A87" s="163" t="s">
        <v>155</v>
      </c>
      <c r="B87" s="163"/>
      <c r="C87" s="163"/>
      <c r="D87" s="163"/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</row>
    <row r="88" spans="1:15" x14ac:dyDescent="0.25">
      <c r="A88" s="6" t="s">
        <v>156</v>
      </c>
      <c r="B88" s="173" t="s">
        <v>157</v>
      </c>
      <c r="C88" s="174"/>
      <c r="D88" s="174"/>
      <c r="E88" s="174"/>
      <c r="F88" s="174"/>
      <c r="G88" s="174"/>
      <c r="H88" s="174"/>
      <c r="I88" s="174"/>
      <c r="J88" s="174"/>
      <c r="K88" s="174"/>
      <c r="L88" s="174"/>
      <c r="M88" s="174"/>
    </row>
    <row r="89" spans="1:15" x14ac:dyDescent="0.25">
      <c r="A89" s="8" t="s">
        <v>158</v>
      </c>
      <c r="B89" s="9" t="s">
        <v>159</v>
      </c>
      <c r="C89" s="8"/>
      <c r="D89" s="8"/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</row>
    <row r="90" spans="1:15" x14ac:dyDescent="0.25">
      <c r="A90" s="163" t="s">
        <v>160</v>
      </c>
      <c r="B90" s="163"/>
      <c r="C90" s="163"/>
      <c r="D90" s="163"/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</row>
    <row r="91" spans="1:15" x14ac:dyDescent="0.25">
      <c r="A91" s="163" t="s">
        <v>161</v>
      </c>
      <c r="B91" s="163"/>
      <c r="C91" s="163"/>
      <c r="D91" s="163"/>
      <c r="E91" s="11">
        <f>E90+E87+E83+E80+E76+E72+E69+E65+E61+E58+E54</f>
        <v>105135823</v>
      </c>
      <c r="F91" s="11">
        <f t="shared" ref="F91:M91" si="20">F90+F87+F83+F80+F76+F72+F69+F65+F61+F58+F54</f>
        <v>38500</v>
      </c>
      <c r="G91" s="11">
        <f t="shared" si="20"/>
        <v>9705000</v>
      </c>
      <c r="H91" s="11">
        <f t="shared" si="20"/>
        <v>95469323</v>
      </c>
      <c r="I91" s="11">
        <f t="shared" si="20"/>
        <v>8221822</v>
      </c>
      <c r="J91" s="11">
        <f t="shared" si="20"/>
        <v>35932180</v>
      </c>
      <c r="K91" s="11">
        <f t="shared" si="20"/>
        <v>44154002</v>
      </c>
      <c r="L91" s="11">
        <f t="shared" si="20"/>
        <v>10174799</v>
      </c>
      <c r="M91" s="11">
        <f t="shared" si="20"/>
        <v>-61490120</v>
      </c>
      <c r="O91" s="18"/>
    </row>
    <row r="92" spans="1:15" x14ac:dyDescent="0.25">
      <c r="A92" s="5" t="s">
        <v>162</v>
      </c>
      <c r="B92" s="170" t="s">
        <v>163</v>
      </c>
      <c r="C92" s="171"/>
      <c r="D92" s="171"/>
      <c r="E92" s="171"/>
      <c r="F92" s="171"/>
      <c r="G92" s="171"/>
      <c r="H92" s="171"/>
      <c r="I92" s="171"/>
      <c r="J92" s="171"/>
      <c r="K92" s="171"/>
      <c r="L92" s="171"/>
      <c r="M92" s="172"/>
    </row>
    <row r="93" spans="1:15" x14ac:dyDescent="0.25">
      <c r="A93" s="6" t="s">
        <v>164</v>
      </c>
      <c r="B93" s="173" t="s">
        <v>165</v>
      </c>
      <c r="C93" s="174"/>
      <c r="D93" s="174"/>
      <c r="E93" s="174"/>
      <c r="F93" s="174"/>
      <c r="G93" s="174"/>
      <c r="H93" s="174"/>
      <c r="I93" s="174"/>
      <c r="J93" s="174"/>
      <c r="K93" s="174"/>
      <c r="L93" s="174"/>
      <c r="M93" s="174"/>
    </row>
    <row r="94" spans="1:15" x14ac:dyDescent="0.25">
      <c r="A94" s="8" t="s">
        <v>166</v>
      </c>
      <c r="B94" s="9" t="s">
        <v>167</v>
      </c>
      <c r="C94" s="8"/>
      <c r="D94" s="8"/>
      <c r="E94" s="10">
        <v>1700000</v>
      </c>
      <c r="F94" s="10">
        <v>0</v>
      </c>
      <c r="G94" s="10">
        <v>100000</v>
      </c>
      <c r="H94" s="10">
        <f>E94+F94-G94</f>
        <v>1600000</v>
      </c>
      <c r="I94" s="10">
        <f>ROUND(1515361.37,0)</f>
        <v>1515361</v>
      </c>
      <c r="J94" s="10">
        <f>K94-I94</f>
        <v>24295</v>
      </c>
      <c r="K94" s="10">
        <f>ROUND(1539656.49,0)</f>
        <v>1539656</v>
      </c>
      <c r="L94" s="10">
        <v>0</v>
      </c>
      <c r="M94" s="10">
        <f>K94-H94</f>
        <v>-60344</v>
      </c>
    </row>
    <row r="95" spans="1:15" x14ac:dyDescent="0.25">
      <c r="A95" s="8" t="s">
        <v>168</v>
      </c>
      <c r="B95" s="9" t="s">
        <v>169</v>
      </c>
      <c r="C95" s="8"/>
      <c r="D95" s="8"/>
      <c r="E95" s="10">
        <v>450000</v>
      </c>
      <c r="F95" s="10">
        <v>0</v>
      </c>
      <c r="G95" s="10">
        <v>0</v>
      </c>
      <c r="H95" s="10">
        <f t="shared" ref="H95:H102" si="21">E95+F95-G95</f>
        <v>450000</v>
      </c>
      <c r="I95" s="10">
        <f>ROUND(423281.18,0)</f>
        <v>423281</v>
      </c>
      <c r="J95" s="10">
        <f t="shared" ref="J95:J102" si="22">K95-I95</f>
        <v>1230</v>
      </c>
      <c r="K95" s="74">
        <f>ROUND(424511.18,0)</f>
        <v>424511</v>
      </c>
      <c r="L95" s="10">
        <v>0</v>
      </c>
      <c r="M95" s="10">
        <f t="shared" ref="M95:M102" si="23">K95-H95</f>
        <v>-25489</v>
      </c>
    </row>
    <row r="96" spans="1:15" x14ac:dyDescent="0.25">
      <c r="A96" s="8" t="s">
        <v>170</v>
      </c>
      <c r="B96" s="9" t="s">
        <v>171</v>
      </c>
      <c r="C96" s="8"/>
      <c r="D96" s="8"/>
      <c r="E96" s="10">
        <v>5000</v>
      </c>
      <c r="F96" s="10">
        <v>0</v>
      </c>
      <c r="G96" s="10">
        <v>0</v>
      </c>
      <c r="H96" s="10">
        <f t="shared" si="21"/>
        <v>5000</v>
      </c>
      <c r="I96" s="10">
        <f>ROUND(3260.56,0)</f>
        <v>3261</v>
      </c>
      <c r="J96" s="10">
        <f t="shared" si="22"/>
        <v>0</v>
      </c>
      <c r="K96" s="10">
        <f>ROUND(3260.56,0)</f>
        <v>3261</v>
      </c>
      <c r="L96" s="10">
        <v>0</v>
      </c>
      <c r="M96" s="10">
        <f t="shared" si="23"/>
        <v>-1739</v>
      </c>
    </row>
    <row r="97" spans="1:16" x14ac:dyDescent="0.25">
      <c r="A97" s="8" t="s">
        <v>172</v>
      </c>
      <c r="B97" s="9" t="s">
        <v>173</v>
      </c>
      <c r="C97" s="8"/>
      <c r="D97" s="8"/>
      <c r="E97" s="10">
        <v>0</v>
      </c>
      <c r="F97" s="10">
        <v>0</v>
      </c>
      <c r="G97" s="10">
        <v>0</v>
      </c>
      <c r="H97" s="10">
        <f t="shared" si="21"/>
        <v>0</v>
      </c>
      <c r="I97" s="10">
        <v>0</v>
      </c>
      <c r="J97" s="10">
        <f t="shared" si="22"/>
        <v>0</v>
      </c>
      <c r="K97" s="10">
        <v>0</v>
      </c>
      <c r="L97" s="10">
        <v>0</v>
      </c>
      <c r="M97" s="10">
        <f t="shared" si="23"/>
        <v>0</v>
      </c>
    </row>
    <row r="98" spans="1:16" x14ac:dyDescent="0.25">
      <c r="A98" s="8" t="s">
        <v>174</v>
      </c>
      <c r="B98" s="9" t="s">
        <v>175</v>
      </c>
      <c r="C98" s="8"/>
      <c r="D98" s="8"/>
      <c r="E98" s="10">
        <v>0</v>
      </c>
      <c r="F98" s="10">
        <v>0</v>
      </c>
      <c r="G98" s="10">
        <v>0</v>
      </c>
      <c r="H98" s="10">
        <f t="shared" si="21"/>
        <v>0</v>
      </c>
      <c r="I98" s="10">
        <v>0</v>
      </c>
      <c r="J98" s="10">
        <f t="shared" si="22"/>
        <v>0</v>
      </c>
      <c r="K98" s="10">
        <v>0</v>
      </c>
      <c r="L98" s="10">
        <v>0</v>
      </c>
      <c r="M98" s="10">
        <f t="shared" si="23"/>
        <v>0</v>
      </c>
    </row>
    <row r="99" spans="1:16" x14ac:dyDescent="0.25">
      <c r="A99" s="8" t="s">
        <v>176</v>
      </c>
      <c r="B99" s="9" t="s">
        <v>177</v>
      </c>
      <c r="C99" s="8"/>
      <c r="D99" s="8"/>
      <c r="E99" s="10">
        <v>1000000</v>
      </c>
      <c r="F99" s="10">
        <v>200000</v>
      </c>
      <c r="G99" s="10">
        <v>0</v>
      </c>
      <c r="H99" s="10">
        <f t="shared" si="21"/>
        <v>1200000</v>
      </c>
      <c r="I99" s="10">
        <f>ROUND(944078.89,0)</f>
        <v>944079</v>
      </c>
      <c r="J99" s="10">
        <f t="shared" si="22"/>
        <v>226694</v>
      </c>
      <c r="K99" s="10">
        <f>ROUND(1170773.39,0)</f>
        <v>1170773</v>
      </c>
      <c r="L99" s="10">
        <v>0</v>
      </c>
      <c r="M99" s="10">
        <f t="shared" si="23"/>
        <v>-29227</v>
      </c>
    </row>
    <row r="100" spans="1:16" x14ac:dyDescent="0.25">
      <c r="A100" s="8" t="s">
        <v>178</v>
      </c>
      <c r="B100" s="9" t="s">
        <v>179</v>
      </c>
      <c r="C100" s="8"/>
      <c r="D100" s="8"/>
      <c r="E100" s="10">
        <v>30000</v>
      </c>
      <c r="F100" s="10">
        <v>0</v>
      </c>
      <c r="G100" s="10">
        <v>0</v>
      </c>
      <c r="H100" s="10">
        <f t="shared" si="21"/>
        <v>30000</v>
      </c>
      <c r="I100" s="10">
        <f>ROUND(16867.35,0)</f>
        <v>16867</v>
      </c>
      <c r="J100" s="10">
        <f t="shared" si="22"/>
        <v>0</v>
      </c>
      <c r="K100" s="10">
        <f>ROUND(16867.35,0)</f>
        <v>16867</v>
      </c>
      <c r="L100" s="10">
        <v>0</v>
      </c>
      <c r="M100" s="10">
        <f t="shared" si="23"/>
        <v>-13133</v>
      </c>
    </row>
    <row r="101" spans="1:16" x14ac:dyDescent="0.25">
      <c r="A101" s="8" t="s">
        <v>180</v>
      </c>
      <c r="B101" s="9" t="s">
        <v>181</v>
      </c>
      <c r="C101" s="8"/>
      <c r="D101" s="8"/>
      <c r="E101" s="10">
        <v>22500</v>
      </c>
      <c r="F101" s="10">
        <v>0</v>
      </c>
      <c r="G101" s="10">
        <v>0</v>
      </c>
      <c r="H101" s="10">
        <f t="shared" si="21"/>
        <v>22500</v>
      </c>
      <c r="I101" s="10">
        <v>20000</v>
      </c>
      <c r="J101" s="10">
        <f t="shared" si="22"/>
        <v>0</v>
      </c>
      <c r="K101" s="10">
        <v>20000</v>
      </c>
      <c r="L101" s="10">
        <v>0</v>
      </c>
      <c r="M101" s="10">
        <f t="shared" si="23"/>
        <v>-2500</v>
      </c>
    </row>
    <row r="102" spans="1:16" x14ac:dyDescent="0.25">
      <c r="A102" s="8" t="s">
        <v>182</v>
      </c>
      <c r="B102" s="9" t="s">
        <v>183</v>
      </c>
      <c r="C102" s="8"/>
      <c r="D102" s="8"/>
      <c r="E102" s="10">
        <v>1000000</v>
      </c>
      <c r="F102" s="10">
        <v>0</v>
      </c>
      <c r="G102" s="10">
        <v>100000</v>
      </c>
      <c r="H102" s="10">
        <f t="shared" si="21"/>
        <v>900000</v>
      </c>
      <c r="I102" s="10">
        <f>ROUND(850094.07,0)</f>
        <v>850094</v>
      </c>
      <c r="J102" s="10">
        <f t="shared" si="22"/>
        <v>32099</v>
      </c>
      <c r="K102" s="10">
        <f>ROUND(882193,0)</f>
        <v>882193</v>
      </c>
      <c r="L102" s="10">
        <v>0</v>
      </c>
      <c r="M102" s="10">
        <f t="shared" si="23"/>
        <v>-17807</v>
      </c>
    </row>
    <row r="103" spans="1:16" x14ac:dyDescent="0.25">
      <c r="A103" s="163" t="s">
        <v>184</v>
      </c>
      <c r="B103" s="163"/>
      <c r="C103" s="163"/>
      <c r="D103" s="163"/>
      <c r="E103" s="11">
        <f>SUM(E94:E102)</f>
        <v>4207500</v>
      </c>
      <c r="F103" s="11">
        <f t="shared" ref="F103:H103" si="24">SUM(F94:F102)</f>
        <v>200000</v>
      </c>
      <c r="G103" s="11">
        <f t="shared" si="24"/>
        <v>200000</v>
      </c>
      <c r="H103" s="11">
        <f t="shared" si="24"/>
        <v>4207500</v>
      </c>
      <c r="I103" s="11">
        <f>SUM(I94:I102)</f>
        <v>3772943</v>
      </c>
      <c r="J103" s="11">
        <f>SUM(J94:J102)</f>
        <v>284318</v>
      </c>
      <c r="K103" s="11">
        <f>SUM(K94:K102)</f>
        <v>4057261</v>
      </c>
      <c r="L103" s="11">
        <v>0</v>
      </c>
      <c r="M103" s="11">
        <f>SUM(M94:M102)</f>
        <v>-150239</v>
      </c>
    </row>
    <row r="104" spans="1:16" x14ac:dyDescent="0.25">
      <c r="A104" s="163" t="s">
        <v>185</v>
      </c>
      <c r="B104" s="163"/>
      <c r="C104" s="163"/>
      <c r="D104" s="163"/>
      <c r="E104" s="11">
        <f>E103</f>
        <v>4207500</v>
      </c>
      <c r="F104" s="11">
        <f t="shared" ref="F104:H104" si="25">F103</f>
        <v>200000</v>
      </c>
      <c r="G104" s="11">
        <f t="shared" si="25"/>
        <v>200000</v>
      </c>
      <c r="H104" s="11">
        <f t="shared" si="25"/>
        <v>4207500</v>
      </c>
      <c r="I104" s="11">
        <f>I103</f>
        <v>3772943</v>
      </c>
      <c r="J104" s="11">
        <f>J103</f>
        <v>284318</v>
      </c>
      <c r="K104" s="11">
        <f>K103</f>
        <v>4057261</v>
      </c>
      <c r="L104" s="11">
        <v>0</v>
      </c>
      <c r="M104" s="11">
        <f>M103</f>
        <v>-150239</v>
      </c>
      <c r="O104" s="18"/>
    </row>
    <row r="105" spans="1:16" x14ac:dyDescent="0.25">
      <c r="A105" s="177" t="s">
        <v>186</v>
      </c>
      <c r="B105" s="177"/>
      <c r="C105" s="177"/>
      <c r="D105" s="177"/>
      <c r="E105" s="14">
        <f>E104+E91+E49</f>
        <v>126717888</v>
      </c>
      <c r="F105" s="14">
        <f>F104+F91+F49</f>
        <v>7296721</v>
      </c>
      <c r="G105" s="14">
        <f t="shared" ref="G105:M105" si="26">G104+G91+G49</f>
        <v>9905000</v>
      </c>
      <c r="H105" s="14">
        <f t="shared" si="26"/>
        <v>124109609</v>
      </c>
      <c r="I105" s="14">
        <f t="shared" si="26"/>
        <v>35817725</v>
      </c>
      <c r="J105" s="14">
        <f t="shared" si="26"/>
        <v>36333022</v>
      </c>
      <c r="K105" s="14">
        <f t="shared" si="26"/>
        <v>72150747</v>
      </c>
      <c r="L105" s="14">
        <f t="shared" si="26"/>
        <v>12916975</v>
      </c>
      <c r="M105" s="14">
        <f t="shared" si="26"/>
        <v>-64875837</v>
      </c>
      <c r="N105" s="18"/>
      <c r="P105" s="18"/>
    </row>
    <row r="108" spans="1:16" x14ac:dyDescent="0.25">
      <c r="K108" s="18"/>
    </row>
  </sheetData>
  <mergeCells count="60">
    <mergeCell ref="A105:D105"/>
    <mergeCell ref="A91:D91"/>
    <mergeCell ref="B92:M92"/>
    <mergeCell ref="B93:M93"/>
    <mergeCell ref="A103:D103"/>
    <mergeCell ref="A104:D104"/>
    <mergeCell ref="A90:D90"/>
    <mergeCell ref="B70:M70"/>
    <mergeCell ref="A72:D72"/>
    <mergeCell ref="B73:M73"/>
    <mergeCell ref="A76:D76"/>
    <mergeCell ref="B77:M77"/>
    <mergeCell ref="A80:D80"/>
    <mergeCell ref="B81:M81"/>
    <mergeCell ref="A83:D83"/>
    <mergeCell ref="B84:M84"/>
    <mergeCell ref="A87:D87"/>
    <mergeCell ref="B88:M88"/>
    <mergeCell ref="A69:D69"/>
    <mergeCell ref="A49:D49"/>
    <mergeCell ref="B50:M50"/>
    <mergeCell ref="B51:M51"/>
    <mergeCell ref="A54:D54"/>
    <mergeCell ref="B55:M55"/>
    <mergeCell ref="A58:D58"/>
    <mergeCell ref="B59:M59"/>
    <mergeCell ref="A61:D61"/>
    <mergeCell ref="B62:M62"/>
    <mergeCell ref="A65:D65"/>
    <mergeCell ref="B66:M66"/>
    <mergeCell ref="A48:D48"/>
    <mergeCell ref="B19:M19"/>
    <mergeCell ref="A23:D23"/>
    <mergeCell ref="B24:M24"/>
    <mergeCell ref="A31:D31"/>
    <mergeCell ref="B32:M32"/>
    <mergeCell ref="A34:D34"/>
    <mergeCell ref="B35:M35"/>
    <mergeCell ref="A40:D40"/>
    <mergeCell ref="B41:M41"/>
    <mergeCell ref="A44:D44"/>
    <mergeCell ref="B45:M45"/>
    <mergeCell ref="A18:D18"/>
    <mergeCell ref="A6:D6"/>
    <mergeCell ref="E6:H6"/>
    <mergeCell ref="I6:K6"/>
    <mergeCell ref="L6:M6"/>
    <mergeCell ref="B7:D7"/>
    <mergeCell ref="B8:M8"/>
    <mergeCell ref="B9:M9"/>
    <mergeCell ref="A11:D11"/>
    <mergeCell ref="B12:M12"/>
    <mergeCell ref="A14:D14"/>
    <mergeCell ref="B15:M15"/>
    <mergeCell ref="A1:M1"/>
    <mergeCell ref="A2:M2"/>
    <mergeCell ref="A3:M3"/>
    <mergeCell ref="A4:M4"/>
    <mergeCell ref="A5:D5"/>
    <mergeCell ref="E5:M5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D4F50-67B8-4646-9685-5B2CB2CFF0E2}">
  <dimension ref="A1:S108"/>
  <sheetViews>
    <sheetView topLeftCell="A69" workbookViewId="0">
      <selection activeCell="H99" sqref="H99"/>
    </sheetView>
  </sheetViews>
  <sheetFormatPr defaultColWidth="9.140625"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14" width="12.7109375" style="4" customWidth="1"/>
    <col min="15" max="15" width="0" style="4" hidden="1" customWidth="1"/>
    <col min="16" max="16" width="12.7109375" style="4" customWidth="1"/>
    <col min="17" max="17" width="12.28515625" style="4" hidden="1" customWidth="1"/>
    <col min="18" max="18" width="13.5703125" style="4" bestFit="1" customWidth="1"/>
    <col min="19" max="16384" width="9.140625" style="4"/>
  </cols>
  <sheetData>
    <row r="1" spans="1:16" s="1" customFormat="1" ht="18.75" x14ac:dyDescent="0.25">
      <c r="A1" s="154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" s="1" customFormat="1" ht="15" x14ac:dyDescent="0.25">
      <c r="A2" s="156" t="s">
        <v>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</row>
    <row r="3" spans="1:16" s="1" customFormat="1" ht="15" x14ac:dyDescent="0.25">
      <c r="A3" s="157" t="s">
        <v>623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</row>
    <row r="4" spans="1:16" s="1" customFormat="1" ht="15" x14ac:dyDescent="0.25">
      <c r="A4" s="156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</row>
    <row r="5" spans="1:16" s="1" customFormat="1" ht="15" x14ac:dyDescent="0.25">
      <c r="A5" s="159" t="s">
        <v>2</v>
      </c>
      <c r="B5" s="160"/>
      <c r="C5" s="160"/>
      <c r="D5" s="161"/>
      <c r="E5" s="162" t="s">
        <v>187</v>
      </c>
      <c r="F5" s="160"/>
      <c r="G5" s="160"/>
      <c r="H5" s="160"/>
      <c r="I5" s="160"/>
      <c r="J5" s="161"/>
      <c r="K5" s="162" t="s">
        <v>188</v>
      </c>
      <c r="L5" s="160"/>
      <c r="M5" s="160"/>
      <c r="N5" s="161"/>
      <c r="O5" s="182"/>
      <c r="P5" s="183"/>
    </row>
    <row r="6" spans="1:16" s="1" customFormat="1" ht="28.5" customHeight="1" x14ac:dyDescent="0.25">
      <c r="A6" s="164"/>
      <c r="B6" s="162"/>
      <c r="C6" s="162"/>
      <c r="D6" s="162"/>
      <c r="E6" s="164"/>
      <c r="F6" s="160"/>
      <c r="G6" s="160"/>
      <c r="H6" s="160"/>
      <c r="I6" s="165" t="s">
        <v>189</v>
      </c>
      <c r="J6" s="161"/>
      <c r="K6" s="178"/>
      <c r="L6" s="160"/>
      <c r="M6" s="167" t="s">
        <v>190</v>
      </c>
      <c r="N6" s="179"/>
      <c r="O6" s="180"/>
      <c r="P6" s="181"/>
    </row>
    <row r="7" spans="1:16" ht="25.5" x14ac:dyDescent="0.25">
      <c r="A7" s="2" t="s">
        <v>7</v>
      </c>
      <c r="B7" s="2" t="s">
        <v>8</v>
      </c>
      <c r="C7" s="2"/>
      <c r="D7" s="2"/>
      <c r="E7" s="87" t="s">
        <v>191</v>
      </c>
      <c r="F7" s="88" t="s">
        <v>13</v>
      </c>
      <c r="G7" s="87" t="s">
        <v>14</v>
      </c>
      <c r="H7" s="88" t="s">
        <v>192</v>
      </c>
      <c r="I7" s="87" t="s">
        <v>193</v>
      </c>
      <c r="J7" s="87" t="s">
        <v>194</v>
      </c>
      <c r="K7" s="3" t="s">
        <v>12</v>
      </c>
      <c r="L7" s="2" t="s">
        <v>13</v>
      </c>
      <c r="M7" s="3" t="s">
        <v>195</v>
      </c>
      <c r="N7" s="3" t="s">
        <v>196</v>
      </c>
      <c r="O7" s="188" t="s">
        <v>197</v>
      </c>
      <c r="P7" s="189"/>
    </row>
    <row r="8" spans="1:16" x14ac:dyDescent="0.25">
      <c r="A8" s="5" t="s">
        <v>18</v>
      </c>
      <c r="B8" s="190" t="s">
        <v>19</v>
      </c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</row>
    <row r="9" spans="1:16" x14ac:dyDescent="0.25">
      <c r="A9" s="6" t="s">
        <v>20</v>
      </c>
      <c r="B9" s="173" t="s">
        <v>21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</row>
    <row r="10" spans="1:16" x14ac:dyDescent="0.25">
      <c r="A10" s="15" t="s">
        <v>22</v>
      </c>
      <c r="B10" s="16" t="s">
        <v>23</v>
      </c>
      <c r="C10" s="15"/>
      <c r="D10" s="15"/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f>H10+'Stampa rendiconto PI - ENTR'!H10</f>
        <v>0</v>
      </c>
      <c r="L10" s="17">
        <v>0</v>
      </c>
      <c r="M10" s="17">
        <v>0</v>
      </c>
      <c r="N10" s="17">
        <v>0</v>
      </c>
      <c r="O10" s="184">
        <v>0</v>
      </c>
      <c r="P10" s="185"/>
    </row>
    <row r="11" spans="1:16" x14ac:dyDescent="0.25">
      <c r="A11" s="163" t="s">
        <v>24</v>
      </c>
      <c r="B11" s="163"/>
      <c r="C11" s="163"/>
      <c r="D11" s="163"/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86">
        <v>0</v>
      </c>
      <c r="P11" s="187"/>
    </row>
    <row r="12" spans="1:16" x14ac:dyDescent="0.25">
      <c r="A12" s="6" t="s">
        <v>25</v>
      </c>
      <c r="B12" s="173" t="s">
        <v>26</v>
      </c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</row>
    <row r="13" spans="1:16" x14ac:dyDescent="0.25">
      <c r="A13" s="15" t="s">
        <v>27</v>
      </c>
      <c r="B13" s="16" t="s">
        <v>28</v>
      </c>
      <c r="C13" s="15"/>
      <c r="D13" s="15"/>
      <c r="E13" s="17">
        <v>5000</v>
      </c>
      <c r="F13" s="17">
        <v>0</v>
      </c>
      <c r="G13" s="17">
        <v>5000</v>
      </c>
      <c r="H13" s="17">
        <f>E13</f>
        <v>5000</v>
      </c>
      <c r="I13" s="17">
        <v>0</v>
      </c>
      <c r="J13" s="17">
        <v>0</v>
      </c>
      <c r="K13" s="17">
        <f>H13+'Stampa rendiconto PI - ENTR'!H13</f>
        <v>5000</v>
      </c>
      <c r="L13" s="17">
        <f>F13+'Stampa rendiconto PI - ENTR'!I13</f>
        <v>0</v>
      </c>
      <c r="M13" s="17">
        <v>0</v>
      </c>
      <c r="N13" s="17">
        <f>K13-L13</f>
        <v>5000</v>
      </c>
      <c r="O13" s="184">
        <v>5000</v>
      </c>
      <c r="P13" s="185"/>
    </row>
    <row r="14" spans="1:16" x14ac:dyDescent="0.25">
      <c r="A14" s="163" t="s">
        <v>29</v>
      </c>
      <c r="B14" s="163"/>
      <c r="C14" s="163"/>
      <c r="D14" s="163"/>
      <c r="E14" s="11">
        <f>SUM(E13)</f>
        <v>5000</v>
      </c>
      <c r="F14" s="11">
        <f>SUM(F13)</f>
        <v>0</v>
      </c>
      <c r="G14" s="11">
        <v>5000</v>
      </c>
      <c r="H14" s="11">
        <f>SUM(H13)</f>
        <v>5000</v>
      </c>
      <c r="I14" s="11">
        <v>0</v>
      </c>
      <c r="J14" s="11">
        <v>0</v>
      </c>
      <c r="K14" s="11">
        <f>SUM(K13)</f>
        <v>5000</v>
      </c>
      <c r="L14" s="11">
        <f>SUM(L13)</f>
        <v>0</v>
      </c>
      <c r="M14" s="11">
        <v>0</v>
      </c>
      <c r="N14" s="11">
        <f>SUM(N13)</f>
        <v>5000</v>
      </c>
      <c r="O14" s="186">
        <v>5000</v>
      </c>
      <c r="P14" s="187"/>
    </row>
    <row r="15" spans="1:16" x14ac:dyDescent="0.25">
      <c r="A15" s="6" t="s">
        <v>30</v>
      </c>
      <c r="B15" s="173" t="s">
        <v>31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</row>
    <row r="16" spans="1:16" x14ac:dyDescent="0.25">
      <c r="A16" s="15" t="s">
        <v>32</v>
      </c>
      <c r="B16" s="16" t="s">
        <v>33</v>
      </c>
      <c r="C16" s="15"/>
      <c r="D16" s="15"/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f>H16+'Stampa rendiconto PI - ENTR'!H16</f>
        <v>0</v>
      </c>
      <c r="L16" s="17">
        <v>0</v>
      </c>
      <c r="M16" s="17">
        <v>0</v>
      </c>
      <c r="N16" s="17">
        <v>0</v>
      </c>
      <c r="O16" s="184">
        <v>0</v>
      </c>
      <c r="P16" s="185"/>
    </row>
    <row r="17" spans="1:16" x14ac:dyDescent="0.25">
      <c r="A17" s="15" t="s">
        <v>34</v>
      </c>
      <c r="B17" s="16" t="s">
        <v>35</v>
      </c>
      <c r="C17" s="15"/>
      <c r="D17" s="15"/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f>H17+'Stampa rendiconto PI - ENTR'!H17</f>
        <v>0</v>
      </c>
      <c r="L17" s="17">
        <v>0</v>
      </c>
      <c r="M17" s="17">
        <v>0</v>
      </c>
      <c r="N17" s="17">
        <v>0</v>
      </c>
      <c r="O17" s="192">
        <v>0</v>
      </c>
      <c r="P17" s="193"/>
    </row>
    <row r="18" spans="1:16" x14ac:dyDescent="0.25">
      <c r="A18" s="163" t="s">
        <v>36</v>
      </c>
      <c r="B18" s="163"/>
      <c r="C18" s="163"/>
      <c r="D18" s="163"/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f>SUM(K16:K17)</f>
        <v>0</v>
      </c>
      <c r="L18" s="11">
        <v>0</v>
      </c>
      <c r="M18" s="11">
        <v>0</v>
      </c>
      <c r="N18" s="11">
        <v>0</v>
      </c>
      <c r="O18" s="186">
        <v>0</v>
      </c>
      <c r="P18" s="187"/>
    </row>
    <row r="19" spans="1:16" x14ac:dyDescent="0.25">
      <c r="A19" s="6" t="s">
        <v>37</v>
      </c>
      <c r="B19" s="173" t="s">
        <v>38</v>
      </c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</row>
    <row r="20" spans="1:16" x14ac:dyDescent="0.25">
      <c r="A20" s="15" t="s">
        <v>39</v>
      </c>
      <c r="B20" s="16" t="s">
        <v>40</v>
      </c>
      <c r="C20" s="15"/>
      <c r="D20" s="15"/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f>H20+'Stampa rendiconto PI - ENTR'!H20</f>
        <v>0</v>
      </c>
      <c r="L20" s="17">
        <v>0</v>
      </c>
      <c r="M20" s="17">
        <v>0</v>
      </c>
      <c r="N20" s="17">
        <v>0</v>
      </c>
      <c r="O20" s="184">
        <v>0</v>
      </c>
      <c r="P20" s="185"/>
    </row>
    <row r="21" spans="1:16" x14ac:dyDescent="0.25">
      <c r="A21" s="15" t="s">
        <v>41</v>
      </c>
      <c r="B21" s="16" t="s">
        <v>42</v>
      </c>
      <c r="C21" s="15"/>
      <c r="D21" s="15"/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f>H21+'Stampa rendiconto PI - ENTR'!H21</f>
        <v>0</v>
      </c>
      <c r="L21" s="17">
        <v>0</v>
      </c>
      <c r="M21" s="17">
        <v>0</v>
      </c>
      <c r="N21" s="17">
        <v>0</v>
      </c>
      <c r="O21" s="192">
        <v>0</v>
      </c>
      <c r="P21" s="193"/>
    </row>
    <row r="22" spans="1:16" x14ac:dyDescent="0.25">
      <c r="A22" s="15" t="s">
        <v>43</v>
      </c>
      <c r="B22" s="16" t="s">
        <v>44</v>
      </c>
      <c r="C22" s="15"/>
      <c r="D22" s="15"/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f>H22+'Stampa rendiconto PI - ENTR'!H22</f>
        <v>0</v>
      </c>
      <c r="L22" s="17">
        <v>0</v>
      </c>
      <c r="M22" s="17">
        <v>0</v>
      </c>
      <c r="N22" s="17">
        <v>0</v>
      </c>
      <c r="O22" s="192">
        <v>0</v>
      </c>
      <c r="P22" s="193"/>
    </row>
    <row r="23" spans="1:16" x14ac:dyDescent="0.25">
      <c r="A23" s="163" t="s">
        <v>45</v>
      </c>
      <c r="B23" s="163"/>
      <c r="C23" s="163"/>
      <c r="D23" s="163"/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f>SUM(K20:K22)</f>
        <v>0</v>
      </c>
      <c r="L23" s="11">
        <v>0</v>
      </c>
      <c r="M23" s="11">
        <v>0</v>
      </c>
      <c r="N23" s="11">
        <v>0</v>
      </c>
      <c r="O23" s="186">
        <v>0</v>
      </c>
      <c r="P23" s="187"/>
    </row>
    <row r="24" spans="1:16" x14ac:dyDescent="0.25">
      <c r="A24" s="6" t="s">
        <v>46</v>
      </c>
      <c r="B24" s="173" t="s">
        <v>47</v>
      </c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</row>
    <row r="25" spans="1:16" x14ac:dyDescent="0.25">
      <c r="A25" s="15" t="s">
        <v>48</v>
      </c>
      <c r="B25" s="16" t="s">
        <v>49</v>
      </c>
      <c r="C25" s="15"/>
      <c r="D25" s="15"/>
      <c r="E25" s="17">
        <v>1503991</v>
      </c>
      <c r="F25" s="17">
        <f>E25</f>
        <v>1503991</v>
      </c>
      <c r="G25" s="17">
        <v>0</v>
      </c>
      <c r="H25" s="17">
        <f>E25</f>
        <v>1503991</v>
      </c>
      <c r="I25" s="17">
        <v>0</v>
      </c>
      <c r="J25" s="17">
        <v>0</v>
      </c>
      <c r="K25" s="17">
        <f>H25+'Stampa rendiconto PI - ENTR'!H25</f>
        <v>10503991</v>
      </c>
      <c r="L25" s="17">
        <f>F25+'Stampa rendiconto PI - ENTR'!I25</f>
        <v>8532305</v>
      </c>
      <c r="M25" s="17">
        <v>0</v>
      </c>
      <c r="N25" s="17">
        <f>K25-L25</f>
        <v>1971686</v>
      </c>
      <c r="O25" s="184">
        <f>'Stampa rendiconto PI - ENTR'!J25+'Stampa rendiconto PII - ENTRATE'!G25</f>
        <v>0</v>
      </c>
      <c r="P25" s="185"/>
    </row>
    <row r="26" spans="1:16" ht="25.5" x14ac:dyDescent="0.25">
      <c r="A26" s="15" t="s">
        <v>50</v>
      </c>
      <c r="B26" s="16" t="s">
        <v>51</v>
      </c>
      <c r="C26" s="15"/>
      <c r="D26" s="15"/>
      <c r="E26" s="17">
        <v>0</v>
      </c>
      <c r="F26" s="17">
        <f t="shared" ref="F26:F28" si="0">E26</f>
        <v>0</v>
      </c>
      <c r="G26" s="17">
        <v>0</v>
      </c>
      <c r="H26" s="17">
        <f t="shared" ref="H26:H30" si="1">E26</f>
        <v>0</v>
      </c>
      <c r="I26" s="17">
        <v>0</v>
      </c>
      <c r="J26" s="17">
        <v>0</v>
      </c>
      <c r="K26" s="17">
        <f>H26+'Stampa rendiconto PI - ENTR'!H26</f>
        <v>0</v>
      </c>
      <c r="L26" s="17">
        <f>F26+'Stampa rendiconto PI - ENTR'!I26</f>
        <v>0</v>
      </c>
      <c r="M26" s="17">
        <v>0</v>
      </c>
      <c r="N26" s="17">
        <v>0</v>
      </c>
      <c r="O26" s="184">
        <f>'Stampa rendiconto PI - ENTR'!J26+'Stampa rendiconto PII - ENTRATE'!G26</f>
        <v>0</v>
      </c>
      <c r="P26" s="185"/>
    </row>
    <row r="27" spans="1:16" ht="25.5" x14ac:dyDescent="0.25">
      <c r="A27" s="15" t="s">
        <v>52</v>
      </c>
      <c r="B27" s="16" t="s">
        <v>53</v>
      </c>
      <c r="C27" s="15"/>
      <c r="D27" s="15"/>
      <c r="E27" s="17">
        <v>0</v>
      </c>
      <c r="F27" s="17">
        <f t="shared" si="0"/>
        <v>0</v>
      </c>
      <c r="G27" s="17">
        <v>0</v>
      </c>
      <c r="H27" s="17">
        <f t="shared" si="1"/>
        <v>0</v>
      </c>
      <c r="I27" s="17">
        <v>0</v>
      </c>
      <c r="J27" s="17">
        <v>0</v>
      </c>
      <c r="K27" s="17">
        <f>H27+'Stampa rendiconto PI - ENTR'!H27</f>
        <v>0</v>
      </c>
      <c r="L27" s="17">
        <f>F27+'Stampa rendiconto PI - ENTR'!I27</f>
        <v>0</v>
      </c>
      <c r="M27" s="17">
        <v>0</v>
      </c>
      <c r="N27" s="17">
        <v>0</v>
      </c>
      <c r="O27" s="184">
        <f>'Stampa rendiconto PI - ENTR'!J27+'Stampa rendiconto PII - ENTRATE'!G27</f>
        <v>0</v>
      </c>
      <c r="P27" s="185"/>
    </row>
    <row r="28" spans="1:16" x14ac:dyDescent="0.25">
      <c r="A28" s="15" t="s">
        <v>54</v>
      </c>
      <c r="B28" s="16" t="s">
        <v>55</v>
      </c>
      <c r="C28" s="15"/>
      <c r="D28" s="15"/>
      <c r="E28" s="17">
        <v>299160</v>
      </c>
      <c r="F28" s="17">
        <f t="shared" si="0"/>
        <v>299160</v>
      </c>
      <c r="G28" s="17">
        <v>0</v>
      </c>
      <c r="H28" s="17">
        <f t="shared" si="1"/>
        <v>299160</v>
      </c>
      <c r="I28" s="17">
        <v>0</v>
      </c>
      <c r="J28" s="17">
        <v>0</v>
      </c>
      <c r="K28" s="17">
        <f>H28+'Stampa rendiconto PI - ENTR'!H28</f>
        <v>5299160</v>
      </c>
      <c r="L28" s="17">
        <f>F28+'Stampa rendiconto PI - ENTR'!I28</f>
        <v>4087294</v>
      </c>
      <c r="M28" s="17">
        <v>0</v>
      </c>
      <c r="N28" s="17">
        <f>K28-L28</f>
        <v>1211866</v>
      </c>
      <c r="O28" s="184">
        <f>'Stampa rendiconto PI - ENTR'!J28+'Stampa rendiconto PII - ENTRATE'!G28</f>
        <v>0</v>
      </c>
      <c r="P28" s="185"/>
    </row>
    <row r="29" spans="1:16" ht="25.5" x14ac:dyDescent="0.25">
      <c r="A29" s="15" t="s">
        <v>56</v>
      </c>
      <c r="B29" s="16" t="s">
        <v>57</v>
      </c>
      <c r="C29" s="15"/>
      <c r="D29" s="15"/>
      <c r="E29" s="17">
        <v>0</v>
      </c>
      <c r="F29" s="17">
        <v>0</v>
      </c>
      <c r="G29" s="17">
        <v>0</v>
      </c>
      <c r="H29" s="17">
        <f t="shared" si="1"/>
        <v>0</v>
      </c>
      <c r="I29" s="17">
        <v>0</v>
      </c>
      <c r="J29" s="17">
        <v>0</v>
      </c>
      <c r="K29" s="17">
        <f>H29+'Stampa rendiconto PI - ENTR'!H29</f>
        <v>100000</v>
      </c>
      <c r="L29" s="17">
        <f>F29+'Stampa rendiconto PI - ENTR'!I29</f>
        <v>74572</v>
      </c>
      <c r="M29" s="17">
        <v>0</v>
      </c>
      <c r="N29" s="17">
        <f>K29-L29</f>
        <v>25428</v>
      </c>
      <c r="O29" s="184">
        <f>'Stampa rendiconto PI - ENTR'!J29+'Stampa rendiconto PII - ENTRATE'!G29</f>
        <v>8860</v>
      </c>
      <c r="P29" s="185"/>
    </row>
    <row r="30" spans="1:16" ht="25.5" x14ac:dyDescent="0.25">
      <c r="A30" s="15" t="s">
        <v>58</v>
      </c>
      <c r="B30" s="16" t="s">
        <v>59</v>
      </c>
      <c r="C30" s="15"/>
      <c r="D30" s="15"/>
      <c r="E30" s="17">
        <v>0</v>
      </c>
      <c r="F30" s="17">
        <v>0</v>
      </c>
      <c r="G30" s="17">
        <v>0</v>
      </c>
      <c r="H30" s="17">
        <f t="shared" si="1"/>
        <v>0</v>
      </c>
      <c r="I30" s="17">
        <v>0</v>
      </c>
      <c r="J30" s="17">
        <v>0</v>
      </c>
      <c r="K30" s="17">
        <f>H30+'Stampa rendiconto PI - ENTR'!H30</f>
        <v>100000</v>
      </c>
      <c r="L30" s="17">
        <f>F30+'Stampa rendiconto PI - ENTR'!I30</f>
        <v>76776</v>
      </c>
      <c r="M30" s="17">
        <v>0</v>
      </c>
      <c r="N30" s="17">
        <f>K30-L30</f>
        <v>23224</v>
      </c>
      <c r="O30" s="184">
        <f>'Stampa rendiconto PI - ENTR'!J30+'Stampa rendiconto PII - ENTRATE'!G30</f>
        <v>0</v>
      </c>
      <c r="P30" s="185"/>
    </row>
    <row r="31" spans="1:16" x14ac:dyDescent="0.25">
      <c r="A31" s="163" t="s">
        <v>60</v>
      </c>
      <c r="B31" s="163"/>
      <c r="C31" s="163"/>
      <c r="D31" s="163"/>
      <c r="E31" s="11">
        <f>SUM(E25:E30)</f>
        <v>1803151</v>
      </c>
      <c r="F31" s="11">
        <f t="shared" ref="F31:H31" si="2">SUM(F25:F30)</f>
        <v>1803151</v>
      </c>
      <c r="G31" s="11">
        <f t="shared" si="2"/>
        <v>0</v>
      </c>
      <c r="H31" s="11">
        <f t="shared" si="2"/>
        <v>1803151</v>
      </c>
      <c r="I31" s="11">
        <v>0</v>
      </c>
      <c r="J31" s="11">
        <v>0</v>
      </c>
      <c r="K31" s="11">
        <f>SUM(K25:K30)</f>
        <v>16003151</v>
      </c>
      <c r="L31" s="11">
        <f t="shared" ref="L31" si="3">SUM(L25:L30)</f>
        <v>12770947</v>
      </c>
      <c r="M31" s="11">
        <f>SUM(M25:M30)</f>
        <v>0</v>
      </c>
      <c r="N31" s="11">
        <f>SUM(N25:N30)</f>
        <v>3232204</v>
      </c>
      <c r="O31" s="186">
        <f>SUM(O25:P30)</f>
        <v>8860</v>
      </c>
      <c r="P31" s="187"/>
    </row>
    <row r="32" spans="1:16" x14ac:dyDescent="0.25">
      <c r="A32" s="6" t="s">
        <v>61</v>
      </c>
      <c r="B32" s="173" t="s">
        <v>62</v>
      </c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</row>
    <row r="33" spans="1:16" ht="25.5" x14ac:dyDescent="0.25">
      <c r="A33" s="15" t="s">
        <v>63</v>
      </c>
      <c r="B33" s="16" t="s">
        <v>64</v>
      </c>
      <c r="C33" s="15"/>
      <c r="D33" s="15"/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f>H33+'Stampa rendiconto PI - ENTR'!H33</f>
        <v>0</v>
      </c>
      <c r="L33" s="17">
        <v>0</v>
      </c>
      <c r="M33" s="17">
        <v>0</v>
      </c>
      <c r="N33" s="17">
        <v>0</v>
      </c>
      <c r="O33" s="184">
        <v>0</v>
      </c>
      <c r="P33" s="185"/>
    </row>
    <row r="34" spans="1:16" x14ac:dyDescent="0.25">
      <c r="A34" s="163" t="s">
        <v>65</v>
      </c>
      <c r="B34" s="163"/>
      <c r="C34" s="163"/>
      <c r="D34" s="163"/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86">
        <v>0</v>
      </c>
      <c r="P34" s="187"/>
    </row>
    <row r="35" spans="1:16" x14ac:dyDescent="0.25">
      <c r="A35" s="6" t="s">
        <v>66</v>
      </c>
      <c r="B35" s="173" t="s">
        <v>67</v>
      </c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174"/>
      <c r="P35" s="174"/>
    </row>
    <row r="36" spans="1:16" ht="25.5" x14ac:dyDescent="0.25">
      <c r="A36" s="15" t="s">
        <v>68</v>
      </c>
      <c r="B36" s="16" t="s">
        <v>69</v>
      </c>
      <c r="C36" s="15"/>
      <c r="D36" s="15"/>
      <c r="E36" s="17">
        <v>204371</v>
      </c>
      <c r="F36" s="17">
        <v>2699</v>
      </c>
      <c r="G36" s="17">
        <f>H36-F36</f>
        <v>201672</v>
      </c>
      <c r="H36" s="17">
        <f>E36-J36</f>
        <v>204371</v>
      </c>
      <c r="I36" s="17">
        <v>0</v>
      </c>
      <c r="J36" s="17">
        <v>0</v>
      </c>
      <c r="K36" s="17">
        <f>H36+'Stampa rendiconto PI - ENTR'!H36</f>
        <v>3393554</v>
      </c>
      <c r="L36" s="17">
        <f>F36+'Stampa rendiconto PI - ENTR'!I36</f>
        <v>5839017</v>
      </c>
      <c r="M36" s="17">
        <f t="shared" ref="M36:M37" si="4">L36-K36</f>
        <v>2445463</v>
      </c>
      <c r="N36" s="17">
        <v>0</v>
      </c>
      <c r="O36" s="194">
        <f>'Stampa rendiconto PI - ENTR'!J36+'Stampa rendiconto PII - ENTRATE'!G36</f>
        <v>291596</v>
      </c>
      <c r="P36" s="195"/>
    </row>
    <row r="37" spans="1:16" ht="25.5" x14ac:dyDescent="0.25">
      <c r="A37" s="15" t="s">
        <v>70</v>
      </c>
      <c r="B37" s="16" t="s">
        <v>71</v>
      </c>
      <c r="C37" s="15"/>
      <c r="D37" s="15"/>
      <c r="E37" s="17">
        <v>0</v>
      </c>
      <c r="F37" s="17">
        <v>0</v>
      </c>
      <c r="G37" s="17">
        <f t="shared" ref="G37:G39" si="5">H37-F37</f>
        <v>0</v>
      </c>
      <c r="H37" s="17">
        <v>0</v>
      </c>
      <c r="I37" s="17">
        <v>0</v>
      </c>
      <c r="J37" s="17">
        <v>0</v>
      </c>
      <c r="K37" s="17">
        <f>H37+'Stampa rendiconto PI - ENTR'!H37</f>
        <v>0</v>
      </c>
      <c r="L37" s="17">
        <f>F37+'Stampa rendiconto PI - ENTR'!I37</f>
        <v>0</v>
      </c>
      <c r="M37" s="17">
        <f t="shared" si="4"/>
        <v>0</v>
      </c>
      <c r="N37" s="17">
        <v>0</v>
      </c>
      <c r="O37" s="194">
        <f>'Stampa rendiconto PI - ENTR'!J37+'Stampa rendiconto PII - ENTRATE'!G37</f>
        <v>0</v>
      </c>
      <c r="P37" s="195"/>
    </row>
    <row r="38" spans="1:16" x14ac:dyDescent="0.25">
      <c r="A38" s="15" t="s">
        <v>72</v>
      </c>
      <c r="B38" s="16" t="s">
        <v>73</v>
      </c>
      <c r="C38" s="15"/>
      <c r="D38" s="15"/>
      <c r="E38" s="17">
        <v>0</v>
      </c>
      <c r="F38" s="17">
        <v>0</v>
      </c>
      <c r="G38" s="17">
        <f t="shared" si="5"/>
        <v>0</v>
      </c>
      <c r="H38" s="17">
        <v>0</v>
      </c>
      <c r="I38" s="17">
        <v>0</v>
      </c>
      <c r="J38" s="17">
        <v>0</v>
      </c>
      <c r="K38" s="17">
        <f>H38+'Stampa rendiconto PI - ENTR'!H38</f>
        <v>1000</v>
      </c>
      <c r="L38" s="17">
        <f>F38+'Stampa rendiconto PI - ENTR'!I38</f>
        <v>9</v>
      </c>
      <c r="M38" s="17">
        <v>0</v>
      </c>
      <c r="N38" s="17">
        <f>K38-L38</f>
        <v>991</v>
      </c>
      <c r="O38" s="194">
        <f>'Stampa rendiconto PI - ENTR'!J38+'Stampa rendiconto PII - ENTRATE'!G38</f>
        <v>0</v>
      </c>
      <c r="P38" s="195"/>
    </row>
    <row r="39" spans="1:16" x14ac:dyDescent="0.25">
      <c r="A39" s="15" t="s">
        <v>74</v>
      </c>
      <c r="B39" s="16" t="s">
        <v>75</v>
      </c>
      <c r="C39" s="15"/>
      <c r="D39" s="15"/>
      <c r="E39" s="17">
        <v>7658</v>
      </c>
      <c r="F39" s="17">
        <v>7451</v>
      </c>
      <c r="G39" s="17">
        <f t="shared" si="5"/>
        <v>0</v>
      </c>
      <c r="H39" s="17">
        <f>E39-J39</f>
        <v>7451</v>
      </c>
      <c r="I39" s="17">
        <v>0</v>
      </c>
      <c r="J39" s="17">
        <v>207</v>
      </c>
      <c r="K39" s="17">
        <f>H39+'Stampa rendiconto PI - ENTR'!H39</f>
        <v>57451</v>
      </c>
      <c r="L39" s="17">
        <f>F39+'Stampa rendiconto PI - ENTR'!I39</f>
        <v>49395</v>
      </c>
      <c r="M39" s="17">
        <v>0</v>
      </c>
      <c r="N39" s="17">
        <f>K39-L39</f>
        <v>8056</v>
      </c>
      <c r="O39" s="194">
        <f>'Stampa rendiconto PI - ENTR'!J39+'Stampa rendiconto PII - ENTRATE'!G39</f>
        <v>637</v>
      </c>
      <c r="P39" s="195"/>
    </row>
    <row r="40" spans="1:16" x14ac:dyDescent="0.25">
      <c r="A40" s="163" t="s">
        <v>76</v>
      </c>
      <c r="B40" s="163"/>
      <c r="C40" s="163"/>
      <c r="D40" s="163"/>
      <c r="E40" s="11">
        <f>SUM(E36:E39)</f>
        <v>212029</v>
      </c>
      <c r="F40" s="11">
        <f t="shared" ref="F40:H40" si="6">SUM(F36:F39)</f>
        <v>10150</v>
      </c>
      <c r="G40" s="11">
        <f t="shared" si="6"/>
        <v>201672</v>
      </c>
      <c r="H40" s="11">
        <f t="shared" si="6"/>
        <v>211822</v>
      </c>
      <c r="I40" s="11">
        <v>0</v>
      </c>
      <c r="J40" s="11">
        <f>SUM(J36:J39)</f>
        <v>207</v>
      </c>
      <c r="K40" s="11">
        <f>SUM(K36:K39)</f>
        <v>3452005</v>
      </c>
      <c r="L40" s="11">
        <f>SUM(L36:L39)</f>
        <v>5888421</v>
      </c>
      <c r="M40" s="11">
        <f>SUM(M36:M39)</f>
        <v>2445463</v>
      </c>
      <c r="N40" s="11">
        <f>SUM(N36:N39)</f>
        <v>9047</v>
      </c>
      <c r="O40" s="186">
        <f>SUM(O36:P39)</f>
        <v>292233</v>
      </c>
      <c r="P40" s="187"/>
    </row>
    <row r="41" spans="1:16" x14ac:dyDescent="0.25">
      <c r="A41" s="6" t="s">
        <v>77</v>
      </c>
      <c r="B41" s="173" t="s">
        <v>78</v>
      </c>
      <c r="C41" s="174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174"/>
      <c r="P41" s="174"/>
    </row>
    <row r="42" spans="1:16" x14ac:dyDescent="0.25">
      <c r="A42" s="15" t="s">
        <v>79</v>
      </c>
      <c r="B42" s="16" t="s">
        <v>80</v>
      </c>
      <c r="C42" s="15"/>
      <c r="D42" s="15"/>
      <c r="E42" s="17">
        <v>77234</v>
      </c>
      <c r="F42" s="17">
        <f>ROUND(14534.2,0)</f>
        <v>14534</v>
      </c>
      <c r="G42" s="17">
        <f t="shared" ref="G42:G43" si="7">H42-F42</f>
        <v>50048</v>
      </c>
      <c r="H42" s="17">
        <f>E42-J42</f>
        <v>64582</v>
      </c>
      <c r="I42" s="17">
        <v>0</v>
      </c>
      <c r="J42" s="17">
        <v>12652</v>
      </c>
      <c r="K42" s="17">
        <f>H42+'Stampa rendiconto PI - ENTR'!H42</f>
        <v>114582</v>
      </c>
      <c r="L42" s="17">
        <f>F42+'Stampa rendiconto PI - ENTR'!I42</f>
        <v>52548</v>
      </c>
      <c r="M42" s="17">
        <v>0</v>
      </c>
      <c r="N42" s="17">
        <f>K42-L42</f>
        <v>62034</v>
      </c>
      <c r="O42" s="184">
        <f>'Stampa rendiconto PI - ENTR'!J42+'Stampa rendiconto PII - ENTRATE'!G42</f>
        <v>67151</v>
      </c>
      <c r="P42" s="185"/>
    </row>
    <row r="43" spans="1:16" ht="38.25" x14ac:dyDescent="0.25">
      <c r="A43" s="15" t="s">
        <v>81</v>
      </c>
      <c r="B43" s="16" t="s">
        <v>82</v>
      </c>
      <c r="C43" s="15"/>
      <c r="D43" s="15"/>
      <c r="E43" s="17">
        <v>0</v>
      </c>
      <c r="F43" s="17">
        <v>0</v>
      </c>
      <c r="G43" s="17">
        <f t="shared" si="7"/>
        <v>0</v>
      </c>
      <c r="H43" s="17">
        <v>0</v>
      </c>
      <c r="I43" s="17">
        <v>0</v>
      </c>
      <c r="J43" s="17">
        <v>0</v>
      </c>
      <c r="K43" s="17">
        <f>H43+'Stampa rendiconto PI - ENTR'!H43</f>
        <v>6556103</v>
      </c>
      <c r="L43" s="17">
        <f>F43+'Stampa rendiconto PI - ENTR'!I43</f>
        <v>6556103</v>
      </c>
      <c r="M43" s="17">
        <v>0</v>
      </c>
      <c r="N43" s="17">
        <v>0</v>
      </c>
      <c r="O43" s="192">
        <f>'Stampa rendiconto PI - ENTR'!J43+'Stampa rendiconto PII - ENTRATE'!G43</f>
        <v>0</v>
      </c>
      <c r="P43" s="193"/>
    </row>
    <row r="44" spans="1:16" x14ac:dyDescent="0.25">
      <c r="A44" s="163" t="s">
        <v>83</v>
      </c>
      <c r="B44" s="163"/>
      <c r="C44" s="163"/>
      <c r="D44" s="163"/>
      <c r="E44" s="11">
        <f>SUM(E42:E43)</f>
        <v>77234</v>
      </c>
      <c r="F44" s="11">
        <f t="shared" ref="F44:H44" si="8">SUM(F42:F43)</f>
        <v>14534</v>
      </c>
      <c r="G44" s="11">
        <f t="shared" si="8"/>
        <v>50048</v>
      </c>
      <c r="H44" s="11">
        <f t="shared" si="8"/>
        <v>64582</v>
      </c>
      <c r="I44" s="11">
        <v>0</v>
      </c>
      <c r="J44" s="11">
        <f>SUM(J42:J43)</f>
        <v>12652</v>
      </c>
      <c r="K44" s="11">
        <f>SUM(K42:K43)</f>
        <v>6670685</v>
      </c>
      <c r="L44" s="11">
        <f>SUM(L42:L43)</f>
        <v>6608651</v>
      </c>
      <c r="M44" s="11">
        <f>SUM(M42:M43)</f>
        <v>0</v>
      </c>
      <c r="N44" s="11">
        <f>SUM(N42:N43)</f>
        <v>62034</v>
      </c>
      <c r="O44" s="186">
        <f>SUM(O42:P43)</f>
        <v>67151</v>
      </c>
      <c r="P44" s="187"/>
    </row>
    <row r="45" spans="1:16" x14ac:dyDescent="0.25">
      <c r="A45" s="6" t="s">
        <v>84</v>
      </c>
      <c r="B45" s="173" t="s">
        <v>85</v>
      </c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</row>
    <row r="46" spans="1:16" ht="51" x14ac:dyDescent="0.25">
      <c r="A46" s="15" t="s">
        <v>86</v>
      </c>
      <c r="B46" s="16" t="s">
        <v>87</v>
      </c>
      <c r="C46" s="15"/>
      <c r="D46" s="15"/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f>H46+'Stampa rendiconto PI - ENTR'!H46</f>
        <v>86500</v>
      </c>
      <c r="L46" s="17">
        <f>F46+'Stampa rendiconto PI - ENTR'!I46</f>
        <v>86106</v>
      </c>
      <c r="M46" s="17">
        <v>0</v>
      </c>
      <c r="N46" s="17">
        <f t="shared" ref="N46:N47" si="9">K46-L46</f>
        <v>394</v>
      </c>
      <c r="O46" s="184">
        <v>0</v>
      </c>
      <c r="P46" s="185"/>
    </row>
    <row r="47" spans="1:16" x14ac:dyDescent="0.25">
      <c r="A47" s="15" t="s">
        <v>88</v>
      </c>
      <c r="B47" s="16" t="s">
        <v>89</v>
      </c>
      <c r="C47" s="15"/>
      <c r="D47" s="15"/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f>H47+'Stampa rendiconto PI - ENTR'!H47</f>
        <v>300000</v>
      </c>
      <c r="L47" s="17">
        <f>F47+'Stampa rendiconto PI - ENTR'!I47</f>
        <v>296670</v>
      </c>
      <c r="M47" s="17">
        <v>0</v>
      </c>
      <c r="N47" s="17">
        <f t="shared" si="9"/>
        <v>3330</v>
      </c>
      <c r="O47" s="192">
        <v>0</v>
      </c>
      <c r="P47" s="193"/>
    </row>
    <row r="48" spans="1:16" x14ac:dyDescent="0.25">
      <c r="A48" s="163" t="s">
        <v>90</v>
      </c>
      <c r="B48" s="163"/>
      <c r="C48" s="163"/>
      <c r="D48" s="163"/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f>SUM(K46:K47)</f>
        <v>386500</v>
      </c>
      <c r="L48" s="11">
        <f>SUM(L46:L47)</f>
        <v>382776</v>
      </c>
      <c r="M48" s="11">
        <f>SUM(M46:M47)</f>
        <v>0</v>
      </c>
      <c r="N48" s="11">
        <f>SUM(N46:N47)</f>
        <v>3724</v>
      </c>
      <c r="O48" s="186">
        <v>0</v>
      </c>
      <c r="P48" s="187"/>
    </row>
    <row r="49" spans="1:16" x14ac:dyDescent="0.25">
      <c r="A49" s="196" t="s">
        <v>91</v>
      </c>
      <c r="B49" s="196"/>
      <c r="C49" s="196"/>
      <c r="D49" s="196"/>
      <c r="E49" s="13">
        <f>E14+E18+E23+E31+E34+E40+E44+E48</f>
        <v>2097414</v>
      </c>
      <c r="F49" s="13">
        <f t="shared" ref="F49:G49" si="10">F14+F18+F23+F31+F34+F40+F44+F48</f>
        <v>1827835</v>
      </c>
      <c r="G49" s="13">
        <f t="shared" si="10"/>
        <v>256720</v>
      </c>
      <c r="H49" s="13">
        <f>H14+H18+H23+H31+H34+H40+H44+H48</f>
        <v>2084555</v>
      </c>
      <c r="I49" s="13">
        <f t="shared" ref="I49" si="11">I14+I18+I23+I31+I34+I40+I44+I48</f>
        <v>0</v>
      </c>
      <c r="J49" s="13">
        <f t="shared" ref="J49" si="12">J14+J18+J23+J31+J34+J40+J44+J48</f>
        <v>12859</v>
      </c>
      <c r="K49" s="13">
        <f t="shared" ref="K49" si="13">K14+K18+K23+K31+K34+K40+K44+K48</f>
        <v>26517341</v>
      </c>
      <c r="L49" s="13">
        <f>L14+L18+L23+L31+L34+L40+L44+L48</f>
        <v>25650795</v>
      </c>
      <c r="M49" s="13">
        <f t="shared" ref="M49:N49" si="14">M14+M18+M23+M31+M34+M40+M44+M48</f>
        <v>2445463</v>
      </c>
      <c r="N49" s="13">
        <f t="shared" si="14"/>
        <v>3312009</v>
      </c>
      <c r="O49" s="197">
        <f t="shared" ref="O49" si="15">O14+O18+O23+O31+O34+O40+O44+O48</f>
        <v>373244</v>
      </c>
      <c r="P49" s="198">
        <f t="shared" ref="P49" si="16">P14+P18+P23+P31+P34+P40+P44+P48</f>
        <v>0</v>
      </c>
    </row>
    <row r="50" spans="1:16" x14ac:dyDescent="0.25">
      <c r="A50" s="5" t="s">
        <v>92</v>
      </c>
      <c r="B50" s="190" t="s">
        <v>93</v>
      </c>
      <c r="C50" s="191"/>
      <c r="D50" s="191"/>
      <c r="E50" s="191"/>
      <c r="F50" s="191"/>
      <c r="G50" s="191"/>
      <c r="H50" s="191"/>
      <c r="I50" s="191"/>
      <c r="J50" s="191"/>
      <c r="K50" s="191"/>
      <c r="L50" s="191"/>
      <c r="M50" s="191"/>
      <c r="N50" s="191"/>
      <c r="O50" s="191"/>
      <c r="P50" s="191"/>
    </row>
    <row r="51" spans="1:16" x14ac:dyDescent="0.25">
      <c r="A51" s="6" t="s">
        <v>94</v>
      </c>
      <c r="B51" s="173" t="s">
        <v>95</v>
      </c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</row>
    <row r="52" spans="1:16" x14ac:dyDescent="0.25">
      <c r="A52" s="15" t="s">
        <v>96</v>
      </c>
      <c r="B52" s="16" t="s">
        <v>97</v>
      </c>
      <c r="C52" s="15"/>
      <c r="D52" s="15"/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84">
        <v>0</v>
      </c>
      <c r="P52" s="185"/>
    </row>
    <row r="53" spans="1:16" x14ac:dyDescent="0.25">
      <c r="A53" s="15" t="s">
        <v>98</v>
      </c>
      <c r="B53" s="16" t="s">
        <v>99</v>
      </c>
      <c r="C53" s="15"/>
      <c r="D53" s="15"/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92">
        <v>0</v>
      </c>
      <c r="P53" s="193"/>
    </row>
    <row r="54" spans="1:16" x14ac:dyDescent="0.25">
      <c r="A54" s="163" t="s">
        <v>100</v>
      </c>
      <c r="B54" s="163"/>
      <c r="C54" s="163"/>
      <c r="D54" s="163"/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86">
        <v>0</v>
      </c>
      <c r="P54" s="187"/>
    </row>
    <row r="55" spans="1:16" x14ac:dyDescent="0.25">
      <c r="A55" s="6" t="s">
        <v>101</v>
      </c>
      <c r="B55" s="173" t="s">
        <v>102</v>
      </c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</row>
    <row r="56" spans="1:16" x14ac:dyDescent="0.25">
      <c r="A56" s="15" t="s">
        <v>103</v>
      </c>
      <c r="B56" s="16" t="s">
        <v>104</v>
      </c>
      <c r="C56" s="15"/>
      <c r="D56" s="15"/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84">
        <v>0</v>
      </c>
      <c r="P56" s="185"/>
    </row>
    <row r="57" spans="1:16" x14ac:dyDescent="0.25">
      <c r="A57" s="15" t="s">
        <v>105</v>
      </c>
      <c r="B57" s="16" t="s">
        <v>106</v>
      </c>
      <c r="C57" s="15"/>
      <c r="D57" s="15"/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92">
        <v>0</v>
      </c>
      <c r="P57" s="193"/>
    </row>
    <row r="58" spans="1:16" x14ac:dyDescent="0.25">
      <c r="A58" s="163" t="s">
        <v>107</v>
      </c>
      <c r="B58" s="163"/>
      <c r="C58" s="163"/>
      <c r="D58" s="163"/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86">
        <v>0</v>
      </c>
      <c r="P58" s="187"/>
    </row>
    <row r="59" spans="1:16" x14ac:dyDescent="0.25">
      <c r="A59" s="6" t="s">
        <v>108</v>
      </c>
      <c r="B59" s="173" t="s">
        <v>109</v>
      </c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</row>
    <row r="60" spans="1:16" ht="25.5" x14ac:dyDescent="0.25">
      <c r="A60" s="15" t="s">
        <v>110</v>
      </c>
      <c r="B60" s="16" t="s">
        <v>111</v>
      </c>
      <c r="C60" s="15"/>
      <c r="D60" s="15"/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84">
        <v>0</v>
      </c>
      <c r="P60" s="185"/>
    </row>
    <row r="61" spans="1:16" x14ac:dyDescent="0.25">
      <c r="A61" s="163" t="s">
        <v>112</v>
      </c>
      <c r="B61" s="163"/>
      <c r="C61" s="163"/>
      <c r="D61" s="163"/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86">
        <v>0</v>
      </c>
      <c r="P61" s="187"/>
    </row>
    <row r="62" spans="1:16" x14ac:dyDescent="0.25">
      <c r="A62" s="6" t="s">
        <v>113</v>
      </c>
      <c r="B62" s="173" t="s">
        <v>114</v>
      </c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</row>
    <row r="63" spans="1:16" ht="25.5" x14ac:dyDescent="0.25">
      <c r="A63" s="15" t="s">
        <v>115</v>
      </c>
      <c r="B63" s="16" t="s">
        <v>116</v>
      </c>
      <c r="C63" s="15"/>
      <c r="D63" s="15"/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84">
        <v>0</v>
      </c>
      <c r="P63" s="185"/>
    </row>
    <row r="64" spans="1:16" x14ac:dyDescent="0.25">
      <c r="A64" s="15" t="s">
        <v>117</v>
      </c>
      <c r="B64" s="16" t="s">
        <v>118</v>
      </c>
      <c r="C64" s="15"/>
      <c r="D64" s="15"/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f>'Stampa rendiconto PI - ENTR'!H64+'Stampa rendiconto PII - ENTRATE'!E64</f>
        <v>0</v>
      </c>
      <c r="L64" s="17">
        <f>F64+'Stampa rendiconto PI - ENTR'!I64</f>
        <v>0</v>
      </c>
      <c r="M64" s="17">
        <f>L64-K64</f>
        <v>0</v>
      </c>
      <c r="N64" s="17">
        <v>0</v>
      </c>
      <c r="O64" s="192">
        <v>0</v>
      </c>
      <c r="P64" s="193"/>
    </row>
    <row r="65" spans="1:18" x14ac:dyDescent="0.25">
      <c r="A65" s="163" t="s">
        <v>119</v>
      </c>
      <c r="B65" s="163"/>
      <c r="C65" s="163"/>
      <c r="D65" s="163"/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f>SUM(L63:L64)</f>
        <v>0</v>
      </c>
      <c r="M65" s="11">
        <f>SUM(M63:M64)</f>
        <v>0</v>
      </c>
      <c r="N65" s="11">
        <v>0</v>
      </c>
      <c r="O65" s="186">
        <v>0</v>
      </c>
      <c r="P65" s="187"/>
    </row>
    <row r="66" spans="1:18" x14ac:dyDescent="0.25">
      <c r="A66" s="6" t="s">
        <v>120</v>
      </c>
      <c r="B66" s="173" t="s">
        <v>121</v>
      </c>
      <c r="C66" s="174"/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4"/>
    </row>
    <row r="67" spans="1:18" ht="25.5" x14ac:dyDescent="0.25">
      <c r="A67" s="15" t="s">
        <v>122</v>
      </c>
      <c r="B67" s="16" t="s">
        <v>123</v>
      </c>
      <c r="C67" s="15"/>
      <c r="D67" s="15"/>
      <c r="E67" s="17">
        <v>16433403</v>
      </c>
      <c r="F67" s="17">
        <f>ROUND(2883671.47,0)</f>
        <v>2883671</v>
      </c>
      <c r="G67" s="17">
        <f>H67-F67</f>
        <v>13549732</v>
      </c>
      <c r="H67" s="17">
        <f>E67-J67</f>
        <v>16433403</v>
      </c>
      <c r="I67" s="17">
        <v>0</v>
      </c>
      <c r="J67" s="17">
        <v>0</v>
      </c>
      <c r="K67" s="17">
        <v>60295000</v>
      </c>
      <c r="L67" s="17">
        <f>F67+'Stampa rendiconto PI - ENTR'!I67</f>
        <v>3435988</v>
      </c>
      <c r="M67" s="17">
        <v>0</v>
      </c>
      <c r="N67" s="17">
        <f>K67-L67</f>
        <v>56859012</v>
      </c>
      <c r="O67" s="184">
        <f>'Stampa rendiconto PI - ENTR'!J67+'Stampa rendiconto PII - ENTRATE'!G67</f>
        <v>46938212</v>
      </c>
      <c r="P67" s="185"/>
      <c r="R67" s="18"/>
    </row>
    <row r="68" spans="1:18" ht="51" x14ac:dyDescent="0.25">
      <c r="A68" s="15" t="s">
        <v>124</v>
      </c>
      <c r="B68" s="16" t="s">
        <v>125</v>
      </c>
      <c r="C68" s="15"/>
      <c r="D68" s="15"/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f>H68+'Stampa rendiconto PI - ENTR'!H68</f>
        <v>0</v>
      </c>
      <c r="L68" s="17">
        <v>0</v>
      </c>
      <c r="M68" s="17">
        <v>0</v>
      </c>
      <c r="N68" s="17">
        <v>0</v>
      </c>
      <c r="O68" s="192">
        <v>0</v>
      </c>
      <c r="P68" s="193"/>
    </row>
    <row r="69" spans="1:18" x14ac:dyDescent="0.25">
      <c r="A69" s="163" t="s">
        <v>126</v>
      </c>
      <c r="B69" s="163"/>
      <c r="C69" s="163"/>
      <c r="D69" s="163"/>
      <c r="E69" s="11">
        <f>SUM(E67:E68)</f>
        <v>16433403</v>
      </c>
      <c r="F69" s="11">
        <f t="shared" ref="F69:H69" si="17">SUM(F67:F68)</f>
        <v>2883671</v>
      </c>
      <c r="G69" s="11">
        <f t="shared" si="17"/>
        <v>13549732</v>
      </c>
      <c r="H69" s="11">
        <f t="shared" si="17"/>
        <v>16433403</v>
      </c>
      <c r="I69" s="11">
        <v>0</v>
      </c>
      <c r="J69" s="11">
        <f>SUM(J67:J68)</f>
        <v>0</v>
      </c>
      <c r="K69" s="11">
        <f>SUM(K67:K68)</f>
        <v>60295000</v>
      </c>
      <c r="L69" s="11">
        <f>SUM(L67:L68)</f>
        <v>3435988</v>
      </c>
      <c r="M69" s="11">
        <f t="shared" ref="M69:N69" si="18">SUM(M67:M68)</f>
        <v>0</v>
      </c>
      <c r="N69" s="11">
        <f t="shared" si="18"/>
        <v>56859012</v>
      </c>
      <c r="O69" s="186">
        <f>SUM(O67:P68)</f>
        <v>46938212</v>
      </c>
      <c r="P69" s="187"/>
    </row>
    <row r="70" spans="1:18" x14ac:dyDescent="0.25">
      <c r="A70" s="6" t="s">
        <v>127</v>
      </c>
      <c r="B70" s="173" t="s">
        <v>128</v>
      </c>
      <c r="C70" s="174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</row>
    <row r="71" spans="1:18" x14ac:dyDescent="0.25">
      <c r="A71" s="15" t="s">
        <v>129</v>
      </c>
      <c r="B71" s="16" t="s">
        <v>28</v>
      </c>
      <c r="C71" s="15"/>
      <c r="D71" s="15"/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f>H71+'Stampa rendiconto PI - ENTR'!H71</f>
        <v>0</v>
      </c>
      <c r="L71" s="17">
        <f>F71+'Stampa rendiconto PI - ENTR'!I71</f>
        <v>7631099</v>
      </c>
      <c r="M71" s="17">
        <f>L71-K71</f>
        <v>7631099</v>
      </c>
      <c r="N71" s="17">
        <v>0</v>
      </c>
      <c r="O71" s="184">
        <f>'Stampa rendiconto PI - ENTR'!J71+'Stampa rendiconto PII - ENTRATE'!G71</f>
        <v>2543700</v>
      </c>
      <c r="P71" s="185"/>
    </row>
    <row r="72" spans="1:18" x14ac:dyDescent="0.25">
      <c r="A72" s="163" t="s">
        <v>130</v>
      </c>
      <c r="B72" s="163"/>
      <c r="C72" s="163"/>
      <c r="D72" s="163"/>
      <c r="E72" s="11">
        <f>SUM(E71)</f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f>SUM(K71)</f>
        <v>0</v>
      </c>
      <c r="L72" s="11">
        <f>SUM(L71)</f>
        <v>7631099</v>
      </c>
      <c r="M72" s="11">
        <f>SUM(M71)</f>
        <v>7631099</v>
      </c>
      <c r="N72" s="11">
        <v>0</v>
      </c>
      <c r="O72" s="186">
        <f>SUM(O71)</f>
        <v>2543700</v>
      </c>
      <c r="P72" s="187"/>
    </row>
    <row r="73" spans="1:18" x14ac:dyDescent="0.25">
      <c r="A73" s="6" t="s">
        <v>131</v>
      </c>
      <c r="B73" s="173" t="s">
        <v>132</v>
      </c>
      <c r="C73" s="174"/>
      <c r="D73" s="174"/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</row>
    <row r="74" spans="1:18" x14ac:dyDescent="0.25">
      <c r="A74" s="15" t="s">
        <v>133</v>
      </c>
      <c r="B74" s="16" t="s">
        <v>134</v>
      </c>
      <c r="C74" s="15"/>
      <c r="D74" s="15"/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84">
        <v>0</v>
      </c>
      <c r="P74" s="185"/>
    </row>
    <row r="75" spans="1:18" x14ac:dyDescent="0.25">
      <c r="A75" s="15" t="s">
        <v>135</v>
      </c>
      <c r="B75" s="16" t="s">
        <v>136</v>
      </c>
      <c r="C75" s="15"/>
      <c r="D75" s="15"/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92">
        <v>0</v>
      </c>
      <c r="P75" s="193"/>
    </row>
    <row r="76" spans="1:18" x14ac:dyDescent="0.25">
      <c r="A76" s="163" t="s">
        <v>137</v>
      </c>
      <c r="B76" s="163"/>
      <c r="C76" s="163"/>
      <c r="D76" s="163"/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86">
        <v>0</v>
      </c>
      <c r="P76" s="187"/>
    </row>
    <row r="77" spans="1:18" x14ac:dyDescent="0.25">
      <c r="A77" s="6" t="s">
        <v>138</v>
      </c>
      <c r="B77" s="173" t="s">
        <v>139</v>
      </c>
      <c r="C77" s="174"/>
      <c r="D77" s="174"/>
      <c r="E77" s="174"/>
      <c r="F77" s="174"/>
      <c r="G77" s="174"/>
      <c r="H77" s="174"/>
      <c r="I77" s="174"/>
      <c r="J77" s="174"/>
      <c r="K77" s="174"/>
      <c r="L77" s="174"/>
      <c r="M77" s="174"/>
      <c r="N77" s="174"/>
      <c r="O77" s="174"/>
      <c r="P77" s="174"/>
    </row>
    <row r="78" spans="1:18" x14ac:dyDescent="0.25">
      <c r="A78" s="15" t="s">
        <v>140</v>
      </c>
      <c r="B78" s="16" t="s">
        <v>141</v>
      </c>
      <c r="C78" s="15"/>
      <c r="D78" s="15"/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f>H78+'Stampa rendiconto PI - ENTR'!H78</f>
        <v>0</v>
      </c>
      <c r="L78" s="17">
        <v>0</v>
      </c>
      <c r="M78" s="17">
        <v>0</v>
      </c>
      <c r="N78" s="17">
        <v>0</v>
      </c>
      <c r="O78" s="184">
        <v>0</v>
      </c>
      <c r="P78" s="185"/>
    </row>
    <row r="79" spans="1:18" x14ac:dyDescent="0.25">
      <c r="A79" s="15" t="s">
        <v>142</v>
      </c>
      <c r="B79" s="16" t="s">
        <v>44</v>
      </c>
      <c r="C79" s="15"/>
      <c r="D79" s="15"/>
      <c r="E79" s="17">
        <v>4300476</v>
      </c>
      <c r="F79" s="17">
        <f>ROUND(471427.51,0)</f>
        <v>471428</v>
      </c>
      <c r="G79" s="17">
        <f>H79-F79</f>
        <v>588097</v>
      </c>
      <c r="H79" s="17">
        <f>E79-J79</f>
        <v>1059525</v>
      </c>
      <c r="I79" s="17">
        <v>0</v>
      </c>
      <c r="J79" s="17">
        <v>3240951</v>
      </c>
      <c r="K79" s="17">
        <f>H79+'Stampa rendiconto PI - ENTR'!H79</f>
        <v>1098025</v>
      </c>
      <c r="L79" s="17">
        <f>F79+'Stampa rendiconto PI - ENTR'!I79</f>
        <v>509834</v>
      </c>
      <c r="M79" s="17">
        <v>0</v>
      </c>
      <c r="N79" s="17">
        <f>K79-L79</f>
        <v>588191</v>
      </c>
      <c r="O79" s="192">
        <f>'Stampa rendiconto PI - ENTR'!J79+'Stampa rendiconto PII - ENTRATE'!G79</f>
        <v>588097</v>
      </c>
      <c r="P79" s="193"/>
    </row>
    <row r="80" spans="1:18" x14ac:dyDescent="0.25">
      <c r="A80" s="163" t="s">
        <v>143</v>
      </c>
      <c r="B80" s="163"/>
      <c r="C80" s="163"/>
      <c r="D80" s="163"/>
      <c r="E80" s="11">
        <f>SUM(E78:E79)</f>
        <v>4300476</v>
      </c>
      <c r="F80" s="11">
        <f t="shared" ref="F80:G80" si="19">SUM(F78:F79)</f>
        <v>471428</v>
      </c>
      <c r="G80" s="11">
        <f t="shared" si="19"/>
        <v>588097</v>
      </c>
      <c r="H80" s="11">
        <f>H79</f>
        <v>1059525</v>
      </c>
      <c r="I80" s="11">
        <v>0</v>
      </c>
      <c r="J80" s="11">
        <f>SUM(J78:J79)</f>
        <v>3240951</v>
      </c>
      <c r="K80" s="11">
        <f>SUM(K78:K79)</f>
        <v>1098025</v>
      </c>
      <c r="L80" s="11">
        <f>SUM(L78:L79)</f>
        <v>509834</v>
      </c>
      <c r="M80" s="11">
        <f>SUM(M78:M79)</f>
        <v>0</v>
      </c>
      <c r="N80" s="11">
        <f>SUM(N78:N79)</f>
        <v>588191</v>
      </c>
      <c r="O80" s="186">
        <f>SUM(O78:P79)</f>
        <v>588097</v>
      </c>
      <c r="P80" s="187"/>
    </row>
    <row r="81" spans="1:16" x14ac:dyDescent="0.25">
      <c r="A81" s="6" t="s">
        <v>144</v>
      </c>
      <c r="B81" s="173" t="s">
        <v>145</v>
      </c>
      <c r="C81" s="174"/>
      <c r="D81" s="174"/>
      <c r="E81" s="174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</row>
    <row r="82" spans="1:16" x14ac:dyDescent="0.25">
      <c r="A82" s="15" t="s">
        <v>146</v>
      </c>
      <c r="B82" s="16" t="s">
        <v>147</v>
      </c>
      <c r="C82" s="15"/>
      <c r="D82" s="15"/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84">
        <v>0</v>
      </c>
      <c r="P82" s="185"/>
    </row>
    <row r="83" spans="1:16" x14ac:dyDescent="0.25">
      <c r="A83" s="163" t="s">
        <v>148</v>
      </c>
      <c r="B83" s="163"/>
      <c r="C83" s="163"/>
      <c r="D83" s="163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86">
        <v>0</v>
      </c>
      <c r="P83" s="187"/>
    </row>
    <row r="84" spans="1:16" x14ac:dyDescent="0.25">
      <c r="A84" s="6" t="s">
        <v>149</v>
      </c>
      <c r="B84" s="173" t="s">
        <v>150</v>
      </c>
      <c r="C84" s="174"/>
      <c r="D84" s="174"/>
      <c r="E84" s="174"/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4"/>
    </row>
    <row r="85" spans="1:16" x14ac:dyDescent="0.25">
      <c r="A85" s="15" t="s">
        <v>151</v>
      </c>
      <c r="B85" s="16" t="s">
        <v>152</v>
      </c>
      <c r="C85" s="15"/>
      <c r="D85" s="15"/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84">
        <v>0</v>
      </c>
      <c r="P85" s="185"/>
    </row>
    <row r="86" spans="1:16" x14ac:dyDescent="0.25">
      <c r="A86" s="15" t="s">
        <v>153</v>
      </c>
      <c r="B86" s="16" t="s">
        <v>154</v>
      </c>
      <c r="C86" s="15"/>
      <c r="D86" s="15"/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92">
        <v>0</v>
      </c>
      <c r="P86" s="193"/>
    </row>
    <row r="87" spans="1:16" x14ac:dyDescent="0.25">
      <c r="A87" s="163" t="s">
        <v>155</v>
      </c>
      <c r="B87" s="163"/>
      <c r="C87" s="163"/>
      <c r="D87" s="163"/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86">
        <v>0</v>
      </c>
      <c r="P87" s="187"/>
    </row>
    <row r="88" spans="1:16" x14ac:dyDescent="0.25">
      <c r="A88" s="6" t="s">
        <v>156</v>
      </c>
      <c r="B88" s="173" t="s">
        <v>157</v>
      </c>
      <c r="C88" s="174"/>
      <c r="D88" s="174"/>
      <c r="E88" s="174"/>
      <c r="F88" s="174"/>
      <c r="G88" s="174"/>
      <c r="H88" s="174"/>
      <c r="I88" s="174"/>
      <c r="J88" s="174"/>
      <c r="K88" s="174"/>
      <c r="L88" s="174"/>
      <c r="M88" s="174"/>
      <c r="N88" s="174"/>
      <c r="O88" s="174"/>
      <c r="P88" s="174"/>
    </row>
    <row r="89" spans="1:16" x14ac:dyDescent="0.25">
      <c r="A89" s="15" t="s">
        <v>158</v>
      </c>
      <c r="B89" s="16" t="s">
        <v>159</v>
      </c>
      <c r="C89" s="15"/>
      <c r="D89" s="15"/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84">
        <v>0</v>
      </c>
      <c r="P89" s="185"/>
    </row>
    <row r="90" spans="1:16" x14ac:dyDescent="0.25">
      <c r="A90" s="163" t="s">
        <v>160</v>
      </c>
      <c r="B90" s="163"/>
      <c r="C90" s="163"/>
      <c r="D90" s="163"/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86">
        <v>0</v>
      </c>
      <c r="P90" s="187"/>
    </row>
    <row r="91" spans="1:16" x14ac:dyDescent="0.25">
      <c r="A91" s="196" t="s">
        <v>161</v>
      </c>
      <c r="B91" s="196"/>
      <c r="C91" s="196"/>
      <c r="D91" s="196"/>
      <c r="E91" s="13">
        <f>E90+E87+E83+E80+E76+E72+E69+E65+E61+E58+E54</f>
        <v>20733879</v>
      </c>
      <c r="F91" s="13">
        <f t="shared" ref="F91:H91" si="20">F90+F87+F83+F80+F76+F72+F69+F65+F61+F58+F54</f>
        <v>3355099</v>
      </c>
      <c r="G91" s="13">
        <f t="shared" si="20"/>
        <v>14137829</v>
      </c>
      <c r="H91" s="13">
        <f t="shared" si="20"/>
        <v>17492928</v>
      </c>
      <c r="I91" s="13">
        <f t="shared" ref="I91:N91" si="21">I90+I87+I83+I80+I76+I72+I69+I65+I61+I58+I54</f>
        <v>0</v>
      </c>
      <c r="J91" s="13">
        <f t="shared" si="21"/>
        <v>3240951</v>
      </c>
      <c r="K91" s="13">
        <f t="shared" si="21"/>
        <v>61393025</v>
      </c>
      <c r="L91" s="13">
        <f t="shared" si="21"/>
        <v>11576921</v>
      </c>
      <c r="M91" s="13">
        <f t="shared" si="21"/>
        <v>7631099</v>
      </c>
      <c r="N91" s="13">
        <f t="shared" si="21"/>
        <v>57447203</v>
      </c>
      <c r="O91" s="197">
        <f t="shared" ref="O91" si="22">O90+O87+O83+O80+O76+O72+O69+O65+O61+O58+O54</f>
        <v>50070009</v>
      </c>
      <c r="P91" s="198">
        <f t="shared" ref="P91" si="23">P90+P87+P83+P80+P76+P72+P69+P65+P61+P58+P54</f>
        <v>0</v>
      </c>
    </row>
    <row r="92" spans="1:16" x14ac:dyDescent="0.25">
      <c r="A92" s="5" t="s">
        <v>162</v>
      </c>
      <c r="B92" s="190" t="s">
        <v>163</v>
      </c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</row>
    <row r="93" spans="1:16" x14ac:dyDescent="0.25">
      <c r="A93" s="6" t="s">
        <v>164</v>
      </c>
      <c r="B93" s="173" t="s">
        <v>165</v>
      </c>
      <c r="C93" s="174"/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4"/>
    </row>
    <row r="94" spans="1:16" x14ac:dyDescent="0.25">
      <c r="A94" s="15" t="s">
        <v>166</v>
      </c>
      <c r="B94" s="16" t="s">
        <v>167</v>
      </c>
      <c r="C94" s="15"/>
      <c r="D94" s="15"/>
      <c r="E94" s="17">
        <v>1500</v>
      </c>
      <c r="F94" s="17">
        <v>1500</v>
      </c>
      <c r="G94" s="17">
        <f t="shared" ref="G94:G102" si="24">H94-F94</f>
        <v>0</v>
      </c>
      <c r="H94" s="17">
        <f>E94</f>
        <v>1500</v>
      </c>
      <c r="I94" s="17">
        <v>0</v>
      </c>
      <c r="J94" s="17">
        <v>0</v>
      </c>
      <c r="K94" s="17">
        <f>H94+'Stampa rendiconto PI - ENTR'!H94</f>
        <v>1601500</v>
      </c>
      <c r="L94" s="17">
        <f>F94+'Stampa rendiconto PI - ENTR'!I94</f>
        <v>1516861</v>
      </c>
      <c r="M94" s="17">
        <v>0</v>
      </c>
      <c r="N94" s="17">
        <f t="shared" ref="N94:N102" si="25">K94-L94</f>
        <v>84639</v>
      </c>
      <c r="O94" s="184">
        <f>'Stampa rendiconto PI - ENTR'!J94+'Stampa rendiconto PII - ENTRATE'!G94</f>
        <v>24295</v>
      </c>
      <c r="P94" s="185"/>
    </row>
    <row r="95" spans="1:16" x14ac:dyDescent="0.25">
      <c r="A95" s="15" t="s">
        <v>168</v>
      </c>
      <c r="B95" s="16" t="s">
        <v>169</v>
      </c>
      <c r="C95" s="15"/>
      <c r="D95" s="15"/>
      <c r="E95" s="17">
        <v>0</v>
      </c>
      <c r="F95" s="17">
        <v>0</v>
      </c>
      <c r="G95" s="17">
        <f t="shared" si="24"/>
        <v>0</v>
      </c>
      <c r="H95" s="17">
        <f t="shared" ref="H95:H101" si="26">E95</f>
        <v>0</v>
      </c>
      <c r="I95" s="17">
        <v>0</v>
      </c>
      <c r="J95" s="17">
        <v>0</v>
      </c>
      <c r="K95" s="17">
        <f>H95+'Stampa rendiconto PI - ENTR'!H95</f>
        <v>450000</v>
      </c>
      <c r="L95" s="17">
        <f>F95+'Stampa rendiconto PI - ENTR'!I95</f>
        <v>423281</v>
      </c>
      <c r="M95" s="17">
        <v>0</v>
      </c>
      <c r="N95" s="17">
        <f t="shared" si="25"/>
        <v>26719</v>
      </c>
      <c r="O95" s="192">
        <f>'Stampa rendiconto PI - ENTR'!J95+'Stampa rendiconto PII - ENTRATE'!G95</f>
        <v>1230</v>
      </c>
      <c r="P95" s="193"/>
    </row>
    <row r="96" spans="1:16" x14ac:dyDescent="0.25">
      <c r="A96" s="15" t="s">
        <v>170</v>
      </c>
      <c r="B96" s="16" t="s">
        <v>171</v>
      </c>
      <c r="C96" s="15"/>
      <c r="D96" s="15"/>
      <c r="E96" s="17">
        <v>0</v>
      </c>
      <c r="F96" s="17">
        <v>0</v>
      </c>
      <c r="G96" s="17">
        <f t="shared" si="24"/>
        <v>0</v>
      </c>
      <c r="H96" s="17">
        <f t="shared" si="26"/>
        <v>0</v>
      </c>
      <c r="I96" s="17">
        <v>0</v>
      </c>
      <c r="J96" s="17">
        <v>0</v>
      </c>
      <c r="K96" s="17">
        <f>H96+'Stampa rendiconto PI - ENTR'!H96</f>
        <v>5000</v>
      </c>
      <c r="L96" s="17">
        <f>F96+'Stampa rendiconto PI - ENTR'!I96</f>
        <v>3261</v>
      </c>
      <c r="M96" s="17">
        <v>0</v>
      </c>
      <c r="N96" s="17">
        <f t="shared" si="25"/>
        <v>1739</v>
      </c>
      <c r="O96" s="192">
        <f>'Stampa rendiconto PI - ENTR'!J96+'Stampa rendiconto PII - ENTRATE'!G96</f>
        <v>0</v>
      </c>
      <c r="P96" s="193"/>
    </row>
    <row r="97" spans="1:19" x14ac:dyDescent="0.25">
      <c r="A97" s="15" t="s">
        <v>172</v>
      </c>
      <c r="B97" s="16" t="s">
        <v>173</v>
      </c>
      <c r="C97" s="15"/>
      <c r="D97" s="15"/>
      <c r="E97" s="17">
        <v>0</v>
      </c>
      <c r="F97" s="17">
        <v>0</v>
      </c>
      <c r="G97" s="17">
        <f t="shared" si="24"/>
        <v>0</v>
      </c>
      <c r="H97" s="17">
        <f t="shared" si="26"/>
        <v>0</v>
      </c>
      <c r="I97" s="17">
        <v>0</v>
      </c>
      <c r="J97" s="17">
        <v>0</v>
      </c>
      <c r="K97" s="17">
        <f>H97+'Stampa rendiconto PI - ENTR'!H97</f>
        <v>0</v>
      </c>
      <c r="L97" s="17">
        <f>F97+'Stampa rendiconto PI - ENTR'!I97</f>
        <v>0</v>
      </c>
      <c r="M97" s="17">
        <v>0</v>
      </c>
      <c r="N97" s="17">
        <f t="shared" si="25"/>
        <v>0</v>
      </c>
      <c r="O97" s="192">
        <f>'Stampa rendiconto PI - ENTR'!J97+'Stampa rendiconto PII - ENTRATE'!G97</f>
        <v>0</v>
      </c>
      <c r="P97" s="193"/>
    </row>
    <row r="98" spans="1:19" x14ac:dyDescent="0.25">
      <c r="A98" s="15" t="s">
        <v>174</v>
      </c>
      <c r="B98" s="16" t="s">
        <v>175</v>
      </c>
      <c r="C98" s="15"/>
      <c r="D98" s="15"/>
      <c r="E98" s="17">
        <v>0</v>
      </c>
      <c r="F98" s="17">
        <v>0</v>
      </c>
      <c r="G98" s="17">
        <f t="shared" si="24"/>
        <v>0</v>
      </c>
      <c r="H98" s="17">
        <f t="shared" si="26"/>
        <v>0</v>
      </c>
      <c r="I98" s="17">
        <v>0</v>
      </c>
      <c r="J98" s="17">
        <v>0</v>
      </c>
      <c r="K98" s="17">
        <f>H98+'Stampa rendiconto PI - ENTR'!H98</f>
        <v>0</v>
      </c>
      <c r="L98" s="17">
        <f>F98+'Stampa rendiconto PI - ENTR'!I98</f>
        <v>0</v>
      </c>
      <c r="M98" s="17">
        <v>0</v>
      </c>
      <c r="N98" s="17">
        <f t="shared" si="25"/>
        <v>0</v>
      </c>
      <c r="O98" s="192">
        <f>'Stampa rendiconto PI - ENTR'!J98+'Stampa rendiconto PII - ENTRATE'!G98</f>
        <v>0</v>
      </c>
      <c r="P98" s="193"/>
    </row>
    <row r="99" spans="1:19" x14ac:dyDescent="0.25">
      <c r="A99" s="15" t="s">
        <v>176</v>
      </c>
      <c r="B99" s="16" t="s">
        <v>177</v>
      </c>
      <c r="C99" s="15"/>
      <c r="D99" s="15"/>
      <c r="E99" s="17">
        <v>501052</v>
      </c>
      <c r="F99" s="17">
        <f>ROUND(487791.54,0)</f>
        <v>487792</v>
      </c>
      <c r="G99" s="17">
        <f t="shared" si="24"/>
        <v>13260</v>
      </c>
      <c r="H99" s="17">
        <f>E99-J99</f>
        <v>501052</v>
      </c>
      <c r="I99" s="17">
        <v>0</v>
      </c>
      <c r="J99" s="17">
        <v>0</v>
      </c>
      <c r="K99" s="17">
        <f>H99+'Stampa rendiconto PI - ENTR'!H99</f>
        <v>1701052</v>
      </c>
      <c r="L99" s="17">
        <f>F99+'Stampa rendiconto PI - ENTR'!I99</f>
        <v>1431871</v>
      </c>
      <c r="M99" s="17">
        <v>0</v>
      </c>
      <c r="N99" s="17">
        <f t="shared" si="25"/>
        <v>269181</v>
      </c>
      <c r="O99" s="192">
        <f>'Stampa rendiconto PI - ENTR'!J99+'Stampa rendiconto PII - ENTRATE'!G99</f>
        <v>239954</v>
      </c>
      <c r="P99" s="193"/>
    </row>
    <row r="100" spans="1:19" x14ac:dyDescent="0.25">
      <c r="A100" s="15" t="s">
        <v>178</v>
      </c>
      <c r="B100" s="16" t="s">
        <v>179</v>
      </c>
      <c r="C100" s="15"/>
      <c r="D100" s="15"/>
      <c r="E100" s="17">
        <v>15097</v>
      </c>
      <c r="F100" s="17">
        <v>0</v>
      </c>
      <c r="G100" s="17">
        <f t="shared" si="24"/>
        <v>15097</v>
      </c>
      <c r="H100" s="17">
        <f t="shared" si="26"/>
        <v>15097</v>
      </c>
      <c r="I100" s="17">
        <v>0</v>
      </c>
      <c r="J100" s="17">
        <v>0</v>
      </c>
      <c r="K100" s="17">
        <f>H100+'Stampa rendiconto PI - ENTR'!H100</f>
        <v>45097</v>
      </c>
      <c r="L100" s="17">
        <f>F100+'Stampa rendiconto PI - ENTR'!I100</f>
        <v>16867</v>
      </c>
      <c r="M100" s="17">
        <v>0</v>
      </c>
      <c r="N100" s="17">
        <f t="shared" si="25"/>
        <v>28230</v>
      </c>
      <c r="O100" s="192">
        <f>'Stampa rendiconto PI - ENTR'!J100+'Stampa rendiconto PII - ENTRATE'!G100</f>
        <v>15097</v>
      </c>
      <c r="P100" s="193"/>
    </row>
    <row r="101" spans="1:19" x14ac:dyDescent="0.25">
      <c r="A101" s="15" t="s">
        <v>180</v>
      </c>
      <c r="B101" s="16" t="s">
        <v>181</v>
      </c>
      <c r="C101" s="15"/>
      <c r="D101" s="15"/>
      <c r="E101" s="17">
        <v>0</v>
      </c>
      <c r="F101" s="17">
        <v>0</v>
      </c>
      <c r="G101" s="17">
        <f t="shared" si="24"/>
        <v>0</v>
      </c>
      <c r="H101" s="17">
        <f t="shared" si="26"/>
        <v>0</v>
      </c>
      <c r="I101" s="17">
        <v>0</v>
      </c>
      <c r="J101" s="17">
        <v>0</v>
      </c>
      <c r="K101" s="17">
        <f>H101+'Stampa rendiconto PI - ENTR'!H101</f>
        <v>22500</v>
      </c>
      <c r="L101" s="17">
        <f>F101+'Stampa rendiconto PI - ENTR'!I101</f>
        <v>20000</v>
      </c>
      <c r="M101" s="17">
        <v>0</v>
      </c>
      <c r="N101" s="17">
        <f t="shared" si="25"/>
        <v>2500</v>
      </c>
      <c r="O101" s="192">
        <f>'Stampa rendiconto PI - ENTR'!J101+'Stampa rendiconto PII - ENTRATE'!G101</f>
        <v>0</v>
      </c>
      <c r="P101" s="193"/>
    </row>
    <row r="102" spans="1:19" x14ac:dyDescent="0.25">
      <c r="A102" s="15" t="s">
        <v>182</v>
      </c>
      <c r="B102" s="16" t="s">
        <v>183</v>
      </c>
      <c r="C102" s="15"/>
      <c r="D102" s="15"/>
      <c r="E102" s="17">
        <v>42282</v>
      </c>
      <c r="F102" s="17">
        <f>ROUND(36231.64,0)</f>
        <v>36232</v>
      </c>
      <c r="G102" s="17">
        <f t="shared" si="24"/>
        <v>6050</v>
      </c>
      <c r="H102" s="17">
        <f>E102-J102</f>
        <v>42282</v>
      </c>
      <c r="I102" s="17">
        <v>0</v>
      </c>
      <c r="J102" s="17">
        <v>0</v>
      </c>
      <c r="K102" s="17">
        <f>H102+'Stampa rendiconto PI - ENTR'!H102</f>
        <v>942282</v>
      </c>
      <c r="L102" s="17">
        <f>F102+'Stampa rendiconto PI - ENTR'!I102</f>
        <v>886326</v>
      </c>
      <c r="M102" s="17">
        <v>0</v>
      </c>
      <c r="N102" s="17">
        <f t="shared" si="25"/>
        <v>55956</v>
      </c>
      <c r="O102" s="192">
        <f>'Stampa rendiconto PI - ENTR'!J102+'Stampa rendiconto PII - ENTRATE'!G102</f>
        <v>38149</v>
      </c>
      <c r="P102" s="193"/>
    </row>
    <row r="103" spans="1:19" x14ac:dyDescent="0.25">
      <c r="A103" s="163" t="s">
        <v>184</v>
      </c>
      <c r="B103" s="163"/>
      <c r="C103" s="163"/>
      <c r="D103" s="163"/>
      <c r="E103" s="11">
        <f>SUM(E94:E102)</f>
        <v>559931</v>
      </c>
      <c r="F103" s="11">
        <f t="shared" ref="F103:H103" si="27">SUM(F94:F102)</f>
        <v>525524</v>
      </c>
      <c r="G103" s="11">
        <f t="shared" si="27"/>
        <v>34407</v>
      </c>
      <c r="H103" s="11">
        <f t="shared" si="27"/>
        <v>559931</v>
      </c>
      <c r="I103" s="11">
        <f t="shared" ref="I103:J103" si="28">SUM(I94:I102)</f>
        <v>0</v>
      </c>
      <c r="J103" s="11">
        <f t="shared" si="28"/>
        <v>0</v>
      </c>
      <c r="K103" s="11">
        <f>SUM(K94:K102)</f>
        <v>4767431</v>
      </c>
      <c r="L103" s="11">
        <f t="shared" ref="L103:N103" si="29">SUM(L94:L102)</f>
        <v>4298467</v>
      </c>
      <c r="M103" s="11">
        <f t="shared" si="29"/>
        <v>0</v>
      </c>
      <c r="N103" s="11">
        <f t="shared" si="29"/>
        <v>468964</v>
      </c>
      <c r="O103" s="186">
        <f t="shared" ref="O103" si="30">SUM(O94:O102)</f>
        <v>318725</v>
      </c>
      <c r="P103" s="187">
        <f t="shared" ref="P103" si="31">SUM(P94:P102)</f>
        <v>0</v>
      </c>
    </row>
    <row r="104" spans="1:19" x14ac:dyDescent="0.25">
      <c r="A104" s="196" t="s">
        <v>185</v>
      </c>
      <c r="B104" s="196"/>
      <c r="C104" s="196"/>
      <c r="D104" s="196"/>
      <c r="E104" s="83">
        <f>E103</f>
        <v>559931</v>
      </c>
      <c r="F104" s="13">
        <f t="shared" ref="F104:H104" si="32">F103</f>
        <v>525524</v>
      </c>
      <c r="G104" s="13">
        <f t="shared" si="32"/>
        <v>34407</v>
      </c>
      <c r="H104" s="13">
        <f t="shared" si="32"/>
        <v>559931</v>
      </c>
      <c r="I104" s="13">
        <f t="shared" ref="I104:J104" si="33">I103</f>
        <v>0</v>
      </c>
      <c r="J104" s="13">
        <f t="shared" si="33"/>
        <v>0</v>
      </c>
      <c r="K104" s="13">
        <f>K103</f>
        <v>4767431</v>
      </c>
      <c r="L104" s="13">
        <f t="shared" ref="L104:N104" si="34">L103</f>
        <v>4298467</v>
      </c>
      <c r="M104" s="13">
        <f t="shared" si="34"/>
        <v>0</v>
      </c>
      <c r="N104" s="13">
        <f t="shared" si="34"/>
        <v>468964</v>
      </c>
      <c r="O104" s="197">
        <f t="shared" ref="O104" si="35">O103</f>
        <v>318725</v>
      </c>
      <c r="P104" s="198">
        <f t="shared" ref="P104" si="36">P103</f>
        <v>0</v>
      </c>
    </row>
    <row r="105" spans="1:19" x14ac:dyDescent="0.25">
      <c r="A105" s="177" t="s">
        <v>186</v>
      </c>
      <c r="B105" s="177"/>
      <c r="C105" s="177"/>
      <c r="D105" s="177"/>
      <c r="E105" s="14">
        <f>E104+E91+E49</f>
        <v>23391224</v>
      </c>
      <c r="F105" s="14">
        <f t="shared" ref="F105:H105" si="37">F104+F91+F49</f>
        <v>5708458</v>
      </c>
      <c r="G105" s="14">
        <f t="shared" si="37"/>
        <v>14428956</v>
      </c>
      <c r="H105" s="14">
        <f t="shared" si="37"/>
        <v>20137414</v>
      </c>
      <c r="I105" s="14">
        <f t="shared" ref="I105:J105" si="38">I104+I91+I49</f>
        <v>0</v>
      </c>
      <c r="J105" s="14">
        <f t="shared" si="38"/>
        <v>3253810</v>
      </c>
      <c r="K105" s="14">
        <f>K104+K91+K49</f>
        <v>92677797</v>
      </c>
      <c r="L105" s="14">
        <f t="shared" ref="L105:N105" si="39">L104+L91+L49</f>
        <v>41526183</v>
      </c>
      <c r="M105" s="14">
        <f t="shared" si="39"/>
        <v>10076562</v>
      </c>
      <c r="N105" s="14">
        <f t="shared" si="39"/>
        <v>61228176</v>
      </c>
      <c r="O105" s="199">
        <f t="shared" ref="O105" si="40">O104+O91+O49</f>
        <v>50761978</v>
      </c>
      <c r="P105" s="200">
        <f t="shared" ref="P105" si="41">P104+P91+P49</f>
        <v>0</v>
      </c>
      <c r="Q105" s="18">
        <f>O105+J105</f>
        <v>54015788</v>
      </c>
      <c r="R105" s="89"/>
      <c r="S105" s="18"/>
    </row>
    <row r="106" spans="1:19" hidden="1" x14ac:dyDescent="0.25">
      <c r="E106" s="4" t="s">
        <v>614</v>
      </c>
      <c r="K106" s="4" t="s">
        <v>614</v>
      </c>
      <c r="L106" s="4" t="s">
        <v>614</v>
      </c>
    </row>
    <row r="108" spans="1:19" x14ac:dyDescent="0.25">
      <c r="P108" s="18"/>
      <c r="R108" s="18"/>
    </row>
  </sheetData>
  <mergeCells count="138">
    <mergeCell ref="A105:D105"/>
    <mergeCell ref="O105:P105"/>
    <mergeCell ref="O102:P102"/>
    <mergeCell ref="A103:D103"/>
    <mergeCell ref="O103:P103"/>
    <mergeCell ref="A104:D104"/>
    <mergeCell ref="O104:P104"/>
    <mergeCell ref="O96:P96"/>
    <mergeCell ref="O97:P97"/>
    <mergeCell ref="O98:P98"/>
    <mergeCell ref="O99:P99"/>
    <mergeCell ref="O100:P100"/>
    <mergeCell ref="O101:P101"/>
    <mergeCell ref="A91:D91"/>
    <mergeCell ref="O91:P91"/>
    <mergeCell ref="B92:P92"/>
    <mergeCell ref="B93:P93"/>
    <mergeCell ref="O94:P94"/>
    <mergeCell ref="O95:P95"/>
    <mergeCell ref="O86:P86"/>
    <mergeCell ref="A87:D87"/>
    <mergeCell ref="O87:P87"/>
    <mergeCell ref="B88:P88"/>
    <mergeCell ref="O89:P89"/>
    <mergeCell ref="A90:D90"/>
    <mergeCell ref="O90:P90"/>
    <mergeCell ref="B81:P81"/>
    <mergeCell ref="O82:P82"/>
    <mergeCell ref="A83:D83"/>
    <mergeCell ref="O83:P83"/>
    <mergeCell ref="B84:P84"/>
    <mergeCell ref="O85:P85"/>
    <mergeCell ref="A76:D76"/>
    <mergeCell ref="O76:P76"/>
    <mergeCell ref="B77:P77"/>
    <mergeCell ref="O78:P78"/>
    <mergeCell ref="O79:P79"/>
    <mergeCell ref="A80:D80"/>
    <mergeCell ref="O80:P80"/>
    <mergeCell ref="O71:P71"/>
    <mergeCell ref="A72:D72"/>
    <mergeCell ref="O72:P72"/>
    <mergeCell ref="B73:P73"/>
    <mergeCell ref="O74:P74"/>
    <mergeCell ref="O75:P75"/>
    <mergeCell ref="B66:P66"/>
    <mergeCell ref="O67:P67"/>
    <mergeCell ref="O68:P68"/>
    <mergeCell ref="A69:D69"/>
    <mergeCell ref="O69:P69"/>
    <mergeCell ref="B70:P70"/>
    <mergeCell ref="A61:D61"/>
    <mergeCell ref="O61:P61"/>
    <mergeCell ref="B62:P62"/>
    <mergeCell ref="O63:P63"/>
    <mergeCell ref="O64:P64"/>
    <mergeCell ref="A65:D65"/>
    <mergeCell ref="O65:P65"/>
    <mergeCell ref="O56:P56"/>
    <mergeCell ref="O57:P57"/>
    <mergeCell ref="A58:D58"/>
    <mergeCell ref="O58:P58"/>
    <mergeCell ref="B59:P59"/>
    <mergeCell ref="O60:P60"/>
    <mergeCell ref="B51:P51"/>
    <mergeCell ref="O52:P52"/>
    <mergeCell ref="O53:P53"/>
    <mergeCell ref="A54:D54"/>
    <mergeCell ref="O54:P54"/>
    <mergeCell ref="B55:P55"/>
    <mergeCell ref="O47:P47"/>
    <mergeCell ref="A48:D48"/>
    <mergeCell ref="O48:P48"/>
    <mergeCell ref="A49:D49"/>
    <mergeCell ref="O49:P49"/>
    <mergeCell ref="B50:P50"/>
    <mergeCell ref="O42:P42"/>
    <mergeCell ref="O43:P43"/>
    <mergeCell ref="A44:D44"/>
    <mergeCell ref="O44:P44"/>
    <mergeCell ref="B45:P45"/>
    <mergeCell ref="O46:P46"/>
    <mergeCell ref="O37:P37"/>
    <mergeCell ref="O38:P38"/>
    <mergeCell ref="O39:P39"/>
    <mergeCell ref="A40:D40"/>
    <mergeCell ref="O40:P40"/>
    <mergeCell ref="B41:P41"/>
    <mergeCell ref="B32:P32"/>
    <mergeCell ref="O33:P33"/>
    <mergeCell ref="A34:D34"/>
    <mergeCell ref="O34:P34"/>
    <mergeCell ref="B35:P35"/>
    <mergeCell ref="O36:P36"/>
    <mergeCell ref="O27:P27"/>
    <mergeCell ref="O28:P28"/>
    <mergeCell ref="O29:P29"/>
    <mergeCell ref="O30:P30"/>
    <mergeCell ref="A31:D31"/>
    <mergeCell ref="O31:P31"/>
    <mergeCell ref="O22:P22"/>
    <mergeCell ref="A23:D23"/>
    <mergeCell ref="O23:P23"/>
    <mergeCell ref="B24:P24"/>
    <mergeCell ref="O25:P25"/>
    <mergeCell ref="O26:P26"/>
    <mergeCell ref="O17:P17"/>
    <mergeCell ref="A18:D18"/>
    <mergeCell ref="O18:P18"/>
    <mergeCell ref="B19:P19"/>
    <mergeCell ref="O20:P20"/>
    <mergeCell ref="O21:P21"/>
    <mergeCell ref="B12:P12"/>
    <mergeCell ref="O13:P13"/>
    <mergeCell ref="A14:D14"/>
    <mergeCell ref="O14:P14"/>
    <mergeCell ref="B15:P15"/>
    <mergeCell ref="O16:P16"/>
    <mergeCell ref="O7:P7"/>
    <mergeCell ref="B8:P8"/>
    <mergeCell ref="B9:P9"/>
    <mergeCell ref="O10:P10"/>
    <mergeCell ref="A11:D11"/>
    <mergeCell ref="O11:P11"/>
    <mergeCell ref="A6:D6"/>
    <mergeCell ref="E6:H6"/>
    <mergeCell ref="K6:L6"/>
    <mergeCell ref="M6:N6"/>
    <mergeCell ref="O6:P6"/>
    <mergeCell ref="I6:J6"/>
    <mergeCell ref="A1:P1"/>
    <mergeCell ref="A2:P2"/>
    <mergeCell ref="A3:P3"/>
    <mergeCell ref="A4:P4"/>
    <mergeCell ref="A5:D5"/>
    <mergeCell ref="E5:J5"/>
    <mergeCell ref="K5:N5"/>
    <mergeCell ref="O5:P5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6A24-9940-4FA8-BD76-EEF252B5AF72}">
  <dimension ref="A1:N143"/>
  <sheetViews>
    <sheetView topLeftCell="A10" zoomScale="95" zoomScaleNormal="95" workbookViewId="0">
      <selection activeCell="B21" sqref="B21"/>
    </sheetView>
  </sheetViews>
  <sheetFormatPr defaultColWidth="9.140625"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13" width="15.7109375" style="4" customWidth="1"/>
    <col min="14" max="14" width="11.42578125" style="4" bestFit="1" customWidth="1"/>
    <col min="15" max="16384" width="9.140625" style="4"/>
  </cols>
  <sheetData>
    <row r="1" spans="1:13" s="1" customFormat="1" ht="18.75" x14ac:dyDescent="0.25">
      <c r="A1" s="154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</row>
    <row r="2" spans="1:13" s="1" customFormat="1" ht="15" x14ac:dyDescent="0.25">
      <c r="A2" s="156" t="s">
        <v>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</row>
    <row r="3" spans="1:13" s="1" customFormat="1" ht="15" x14ac:dyDescent="0.25">
      <c r="A3" s="157" t="s">
        <v>622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</row>
    <row r="4" spans="1:13" s="1" customFormat="1" ht="15" x14ac:dyDescent="0.25">
      <c r="A4" s="156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</row>
    <row r="5" spans="1:13" s="1" customFormat="1" ht="15" x14ac:dyDescent="0.25">
      <c r="A5" s="159" t="s">
        <v>2</v>
      </c>
      <c r="B5" s="160"/>
      <c r="C5" s="160"/>
      <c r="D5" s="161"/>
      <c r="E5" s="162" t="s">
        <v>3</v>
      </c>
      <c r="F5" s="160"/>
      <c r="G5" s="160"/>
      <c r="H5" s="160"/>
      <c r="I5" s="160"/>
      <c r="J5" s="160"/>
      <c r="K5" s="160"/>
      <c r="L5" s="161"/>
      <c r="M5" s="161"/>
    </row>
    <row r="6" spans="1:13" s="1" customFormat="1" ht="15" x14ac:dyDescent="0.25">
      <c r="A6" s="164"/>
      <c r="B6" s="162"/>
      <c r="C6" s="162"/>
      <c r="D6" s="162"/>
      <c r="E6" s="164" t="s">
        <v>4</v>
      </c>
      <c r="F6" s="162"/>
      <c r="G6" s="162"/>
      <c r="H6" s="162"/>
      <c r="I6" s="165" t="s">
        <v>198</v>
      </c>
      <c r="J6" s="166"/>
      <c r="K6" s="162"/>
      <c r="L6" s="167" t="s">
        <v>6</v>
      </c>
      <c r="M6" s="168"/>
    </row>
    <row r="7" spans="1:13" ht="25.5" x14ac:dyDescent="0.25">
      <c r="A7" s="2" t="s">
        <v>7</v>
      </c>
      <c r="B7" s="169" t="s">
        <v>8</v>
      </c>
      <c r="C7" s="169"/>
      <c r="D7" s="169"/>
      <c r="E7" s="3" t="s">
        <v>9</v>
      </c>
      <c r="F7" s="2" t="s">
        <v>10</v>
      </c>
      <c r="G7" s="3" t="s">
        <v>11</v>
      </c>
      <c r="H7" s="3" t="s">
        <v>12</v>
      </c>
      <c r="I7" s="87" t="s">
        <v>199</v>
      </c>
      <c r="J7" s="3" t="s">
        <v>200</v>
      </c>
      <c r="K7" s="88" t="s">
        <v>201</v>
      </c>
      <c r="L7" s="3" t="s">
        <v>16</v>
      </c>
      <c r="M7" s="3" t="s">
        <v>17</v>
      </c>
    </row>
    <row r="8" spans="1:13" x14ac:dyDescent="0.25">
      <c r="A8" s="5" t="s">
        <v>202</v>
      </c>
      <c r="B8" s="170" t="s">
        <v>203</v>
      </c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2"/>
    </row>
    <row r="9" spans="1:13" x14ac:dyDescent="0.25">
      <c r="A9" s="6" t="s">
        <v>204</v>
      </c>
      <c r="B9" s="173" t="s">
        <v>205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</row>
    <row r="10" spans="1:13" ht="25.5" x14ac:dyDescent="0.25">
      <c r="A10" s="8" t="s">
        <v>206</v>
      </c>
      <c r="B10" s="9" t="s">
        <v>207</v>
      </c>
      <c r="C10" s="8"/>
      <c r="D10" s="8"/>
      <c r="E10" s="10">
        <v>301651</v>
      </c>
      <c r="F10" s="10">
        <v>15000</v>
      </c>
      <c r="G10" s="10">
        <v>0</v>
      </c>
      <c r="H10" s="10">
        <f>E10+F10-G10</f>
        <v>316651</v>
      </c>
      <c r="I10" s="10">
        <f>ROUND(287362.37,0)</f>
        <v>287362</v>
      </c>
      <c r="J10" s="10">
        <f>K10-I10</f>
        <v>164</v>
      </c>
      <c r="K10" s="10">
        <f>ROUND(287526.28,0)</f>
        <v>287526</v>
      </c>
      <c r="L10" s="10">
        <v>0</v>
      </c>
      <c r="M10" s="10">
        <f>K10-H10</f>
        <v>-29125</v>
      </c>
    </row>
    <row r="11" spans="1:13" ht="25.5" x14ac:dyDescent="0.25">
      <c r="A11" s="8" t="s">
        <v>208</v>
      </c>
      <c r="B11" s="9" t="s">
        <v>209</v>
      </c>
      <c r="C11" s="8"/>
      <c r="D11" s="8"/>
      <c r="E11" s="10">
        <v>7200</v>
      </c>
      <c r="F11" s="10">
        <v>0</v>
      </c>
      <c r="G11" s="10">
        <v>0</v>
      </c>
      <c r="H11" s="10">
        <f t="shared" ref="H11:H12" si="0">E11+F11-G11</f>
        <v>7200</v>
      </c>
      <c r="I11" s="10">
        <v>0</v>
      </c>
      <c r="J11" s="10">
        <f t="shared" ref="J11:J12" si="1">K11-I11</f>
        <v>0</v>
      </c>
      <c r="K11" s="10">
        <v>0</v>
      </c>
      <c r="L11" s="10">
        <v>0</v>
      </c>
      <c r="M11" s="10">
        <f t="shared" ref="M11:M12" si="2">K11-H11</f>
        <v>-7200</v>
      </c>
    </row>
    <row r="12" spans="1:13" ht="25.5" x14ac:dyDescent="0.25">
      <c r="A12" s="8" t="s">
        <v>210</v>
      </c>
      <c r="B12" s="9" t="s">
        <v>211</v>
      </c>
      <c r="C12" s="8"/>
      <c r="D12" s="8"/>
      <c r="E12" s="10">
        <v>75700</v>
      </c>
      <c r="F12" s="10">
        <v>0</v>
      </c>
      <c r="G12" s="10">
        <v>0</v>
      </c>
      <c r="H12" s="10">
        <f t="shared" si="0"/>
        <v>75700</v>
      </c>
      <c r="I12" s="10">
        <f>ROUND(73686.79,0)</f>
        <v>73687</v>
      </c>
      <c r="J12" s="10">
        <f t="shared" si="1"/>
        <v>1498</v>
      </c>
      <c r="K12" s="10">
        <f>ROUND(75184.79,0)</f>
        <v>75185</v>
      </c>
      <c r="L12" s="10">
        <v>0</v>
      </c>
      <c r="M12" s="10">
        <f t="shared" si="2"/>
        <v>-515</v>
      </c>
    </row>
    <row r="13" spans="1:13" x14ac:dyDescent="0.25">
      <c r="A13" s="163" t="s">
        <v>212</v>
      </c>
      <c r="B13" s="163"/>
      <c r="C13" s="163"/>
      <c r="D13" s="163"/>
      <c r="E13" s="11">
        <f>SUM(E10:E12)</f>
        <v>384551</v>
      </c>
      <c r="F13" s="11">
        <f>SUM(F10:F12)</f>
        <v>15000</v>
      </c>
      <c r="G13" s="11">
        <f t="shared" ref="G13:H13" si="3">SUM(G10:G12)</f>
        <v>0</v>
      </c>
      <c r="H13" s="11">
        <f t="shared" si="3"/>
        <v>399551</v>
      </c>
      <c r="I13" s="11">
        <f>SUM(I10:I12)</f>
        <v>361049</v>
      </c>
      <c r="J13" s="11">
        <f t="shared" ref="J13:M13" si="4">SUM(J10:J12)</f>
        <v>1662</v>
      </c>
      <c r="K13" s="11">
        <f t="shared" si="4"/>
        <v>362711</v>
      </c>
      <c r="L13" s="11">
        <f t="shared" si="4"/>
        <v>0</v>
      </c>
      <c r="M13" s="11">
        <f t="shared" si="4"/>
        <v>-36840</v>
      </c>
    </row>
    <row r="14" spans="1:13" x14ac:dyDescent="0.25">
      <c r="A14" s="6" t="s">
        <v>213</v>
      </c>
      <c r="B14" s="173" t="s">
        <v>214</v>
      </c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</row>
    <row r="15" spans="1:13" x14ac:dyDescent="0.25">
      <c r="A15" s="8" t="s">
        <v>215</v>
      </c>
      <c r="B15" s="9" t="s">
        <v>216</v>
      </c>
      <c r="C15" s="8"/>
      <c r="D15" s="8"/>
      <c r="E15" s="10">
        <v>224000</v>
      </c>
      <c r="F15" s="10">
        <v>0</v>
      </c>
      <c r="G15" s="10">
        <v>0</v>
      </c>
      <c r="H15" s="10">
        <f t="shared" ref="H15:H23" si="5">E15+F15-G15</f>
        <v>224000</v>
      </c>
      <c r="I15" s="10">
        <f>ROUND(173221.98,0)</f>
        <v>173222</v>
      </c>
      <c r="J15" s="10">
        <f t="shared" ref="J15:J23" si="6">K15-I15</f>
        <v>0</v>
      </c>
      <c r="K15" s="10">
        <f>ROUND(173221.98,0)</f>
        <v>173222</v>
      </c>
      <c r="L15" s="10">
        <v>0</v>
      </c>
      <c r="M15" s="10">
        <f t="shared" ref="M15:M23" si="7">K15-H15</f>
        <v>-50778</v>
      </c>
    </row>
    <row r="16" spans="1:13" x14ac:dyDescent="0.25">
      <c r="A16" s="8" t="s">
        <v>217</v>
      </c>
      <c r="B16" s="9" t="s">
        <v>218</v>
      </c>
      <c r="C16" s="8"/>
      <c r="D16" s="8"/>
      <c r="E16" s="10">
        <v>2666066</v>
      </c>
      <c r="F16" s="10">
        <v>0</v>
      </c>
      <c r="G16" s="10">
        <v>0</v>
      </c>
      <c r="H16" s="10">
        <f t="shared" si="5"/>
        <v>2666066</v>
      </c>
      <c r="I16" s="10">
        <f>ROUND(2570277.99,0)</f>
        <v>2570278</v>
      </c>
      <c r="J16" s="10">
        <f t="shared" si="6"/>
        <v>33270</v>
      </c>
      <c r="K16" s="10">
        <f>ROUND(2603548.15,0)</f>
        <v>2603548</v>
      </c>
      <c r="L16" s="10">
        <v>0</v>
      </c>
      <c r="M16" s="10">
        <f t="shared" si="7"/>
        <v>-62518</v>
      </c>
    </row>
    <row r="17" spans="1:13" x14ac:dyDescent="0.25">
      <c r="A17" s="8" t="s">
        <v>219</v>
      </c>
      <c r="B17" s="9" t="s">
        <v>220</v>
      </c>
      <c r="C17" s="8"/>
      <c r="D17" s="8"/>
      <c r="E17" s="10">
        <v>150000</v>
      </c>
      <c r="F17" s="10">
        <v>0</v>
      </c>
      <c r="G17" s="10">
        <v>100000</v>
      </c>
      <c r="H17" s="10">
        <f t="shared" si="5"/>
        <v>50000</v>
      </c>
      <c r="I17" s="10">
        <f>ROUND(36624.07,0)</f>
        <v>36624</v>
      </c>
      <c r="J17" s="10">
        <f t="shared" si="6"/>
        <v>0</v>
      </c>
      <c r="K17" s="10">
        <f>ROUND(36624.07,0)</f>
        <v>36624</v>
      </c>
      <c r="L17" s="10">
        <v>0</v>
      </c>
      <c r="M17" s="10">
        <f t="shared" si="7"/>
        <v>-13376</v>
      </c>
    </row>
    <row r="18" spans="1:13" x14ac:dyDescent="0.25">
      <c r="A18" s="8" t="s">
        <v>221</v>
      </c>
      <c r="B18" s="9" t="s">
        <v>222</v>
      </c>
      <c r="C18" s="8"/>
      <c r="D18" s="8"/>
      <c r="E18" s="10">
        <v>70000</v>
      </c>
      <c r="F18" s="10">
        <v>30000</v>
      </c>
      <c r="G18" s="10">
        <v>0</v>
      </c>
      <c r="H18" s="10">
        <f t="shared" si="5"/>
        <v>100000</v>
      </c>
      <c r="I18" s="10">
        <f>ROUND(96144.2,0)</f>
        <v>96144</v>
      </c>
      <c r="J18" s="10">
        <f t="shared" si="6"/>
        <v>480</v>
      </c>
      <c r="K18" s="10">
        <f>ROUND(96624.2,0)</f>
        <v>96624</v>
      </c>
      <c r="L18" s="10">
        <v>0</v>
      </c>
      <c r="M18" s="10">
        <f t="shared" si="7"/>
        <v>-3376</v>
      </c>
    </row>
    <row r="19" spans="1:13" x14ac:dyDescent="0.25">
      <c r="A19" s="8" t="s">
        <v>223</v>
      </c>
      <c r="B19" s="9" t="s">
        <v>224</v>
      </c>
      <c r="C19" s="8"/>
      <c r="D19" s="8"/>
      <c r="E19" s="10">
        <v>6000</v>
      </c>
      <c r="F19" s="10">
        <v>0</v>
      </c>
      <c r="G19" s="10">
        <v>0</v>
      </c>
      <c r="H19" s="10">
        <f t="shared" si="5"/>
        <v>6000</v>
      </c>
      <c r="I19" s="10">
        <v>0</v>
      </c>
      <c r="J19" s="10">
        <f t="shared" si="6"/>
        <v>0</v>
      </c>
      <c r="K19" s="10">
        <v>0</v>
      </c>
      <c r="L19" s="10">
        <v>0</v>
      </c>
      <c r="M19" s="10">
        <f t="shared" si="7"/>
        <v>-6000</v>
      </c>
    </row>
    <row r="20" spans="1:13" ht="25.5" x14ac:dyDescent="0.25">
      <c r="A20" s="8" t="s">
        <v>225</v>
      </c>
      <c r="B20" s="9" t="s">
        <v>226</v>
      </c>
      <c r="C20" s="8"/>
      <c r="D20" s="8"/>
      <c r="E20" s="10">
        <v>50000</v>
      </c>
      <c r="F20" s="10">
        <v>3000</v>
      </c>
      <c r="G20" s="10">
        <v>0</v>
      </c>
      <c r="H20" s="10">
        <f t="shared" si="5"/>
        <v>53000</v>
      </c>
      <c r="I20" s="10">
        <f>ROUND(44228.34,0)</f>
        <v>44228</v>
      </c>
      <c r="J20" s="10">
        <f t="shared" si="6"/>
        <v>7861</v>
      </c>
      <c r="K20" s="10">
        <f>ROUND(52088.84,0)</f>
        <v>52089</v>
      </c>
      <c r="L20" s="10">
        <v>0</v>
      </c>
      <c r="M20" s="10">
        <f t="shared" si="7"/>
        <v>-911</v>
      </c>
    </row>
    <row r="21" spans="1:13" ht="25.5" x14ac:dyDescent="0.25">
      <c r="A21" s="8" t="s">
        <v>227</v>
      </c>
      <c r="B21" s="9" t="s">
        <v>228</v>
      </c>
      <c r="C21" s="8"/>
      <c r="D21" s="8"/>
      <c r="E21" s="10">
        <v>1192845</v>
      </c>
      <c r="F21" s="10">
        <v>187000</v>
      </c>
      <c r="G21" s="10">
        <v>0</v>
      </c>
      <c r="H21" s="10">
        <f t="shared" si="5"/>
        <v>1379845</v>
      </c>
      <c r="I21" s="10">
        <f>ROUND(1078999.37,0)</f>
        <v>1078999</v>
      </c>
      <c r="J21" s="10">
        <f t="shared" si="6"/>
        <v>267965</v>
      </c>
      <c r="K21" s="10">
        <f>ROUND(1346963.78,0)</f>
        <v>1346964</v>
      </c>
      <c r="L21" s="10">
        <v>0</v>
      </c>
      <c r="M21" s="10">
        <f t="shared" si="7"/>
        <v>-32881</v>
      </c>
    </row>
    <row r="22" spans="1:13" x14ac:dyDescent="0.25">
      <c r="A22" s="8" t="s">
        <v>229</v>
      </c>
      <c r="B22" s="9" t="s">
        <v>230</v>
      </c>
      <c r="C22" s="8"/>
      <c r="D22" s="8"/>
      <c r="E22" s="10">
        <v>2106781</v>
      </c>
      <c r="F22" s="10">
        <v>0</v>
      </c>
      <c r="G22" s="10">
        <v>0</v>
      </c>
      <c r="H22" s="10">
        <f t="shared" si="5"/>
        <v>2106781</v>
      </c>
      <c r="I22" s="10">
        <f>ROUND(1843765.75,0)</f>
        <v>1843766</v>
      </c>
      <c r="J22" s="10">
        <f t="shared" si="6"/>
        <v>66746</v>
      </c>
      <c r="K22" s="10">
        <f>ROUND(1910511.55,0)</f>
        <v>1910512</v>
      </c>
      <c r="L22" s="10">
        <v>0</v>
      </c>
      <c r="M22" s="10">
        <f t="shared" si="7"/>
        <v>-196269</v>
      </c>
    </row>
    <row r="23" spans="1:13" x14ac:dyDescent="0.25">
      <c r="A23" s="8" t="s">
        <v>231</v>
      </c>
      <c r="B23" s="9" t="s">
        <v>232</v>
      </c>
      <c r="C23" s="8"/>
      <c r="D23" s="8"/>
      <c r="E23" s="10">
        <v>46000</v>
      </c>
      <c r="F23" s="10">
        <v>0</v>
      </c>
      <c r="G23" s="10">
        <v>0</v>
      </c>
      <c r="H23" s="10">
        <f t="shared" si="5"/>
        <v>46000</v>
      </c>
      <c r="I23" s="10">
        <v>0</v>
      </c>
      <c r="J23" s="10">
        <f t="shared" si="6"/>
        <v>0</v>
      </c>
      <c r="K23" s="10">
        <v>0</v>
      </c>
      <c r="L23" s="10">
        <v>0</v>
      </c>
      <c r="M23" s="10">
        <f t="shared" si="7"/>
        <v>-46000</v>
      </c>
    </row>
    <row r="24" spans="1:13" x14ac:dyDescent="0.25">
      <c r="A24" s="163" t="s">
        <v>233</v>
      </c>
      <c r="B24" s="163"/>
      <c r="C24" s="163"/>
      <c r="D24" s="163"/>
      <c r="E24" s="11">
        <f>SUM(E15:E23)</f>
        <v>6511692</v>
      </c>
      <c r="F24" s="11">
        <f t="shared" ref="F24:G24" si="8">SUM(F15:F23)</f>
        <v>220000</v>
      </c>
      <c r="G24" s="11">
        <f t="shared" si="8"/>
        <v>100000</v>
      </c>
      <c r="H24" s="11">
        <f>SUM(H15:H23)</f>
        <v>6631692</v>
      </c>
      <c r="I24" s="11">
        <f>SUM(I15:I23)</f>
        <v>5843261</v>
      </c>
      <c r="J24" s="11">
        <f t="shared" ref="J24:M24" si="9">SUM(J15:J23)</f>
        <v>376322</v>
      </c>
      <c r="K24" s="11">
        <f t="shared" si="9"/>
        <v>6219583</v>
      </c>
      <c r="L24" s="11">
        <f t="shared" si="9"/>
        <v>0</v>
      </c>
      <c r="M24" s="11">
        <f t="shared" si="9"/>
        <v>-412109</v>
      </c>
    </row>
    <row r="25" spans="1:13" x14ac:dyDescent="0.25">
      <c r="A25" s="6" t="s">
        <v>234</v>
      </c>
      <c r="B25" s="173" t="s">
        <v>235</v>
      </c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</row>
    <row r="26" spans="1:13" ht="25.5" x14ac:dyDescent="0.25">
      <c r="A26" s="8" t="s">
        <v>236</v>
      </c>
      <c r="B26" s="9" t="s">
        <v>237</v>
      </c>
      <c r="C26" s="8"/>
      <c r="D26" s="8"/>
      <c r="E26" s="10">
        <v>4815</v>
      </c>
      <c r="F26" s="10">
        <v>0</v>
      </c>
      <c r="G26" s="10">
        <v>0</v>
      </c>
      <c r="H26" s="10">
        <f t="shared" ref="H26:H43" si="10">E26+F26-G26</f>
        <v>4815</v>
      </c>
      <c r="I26" s="10">
        <f>ROUND(4295.22,0)</f>
        <v>4295</v>
      </c>
      <c r="J26" s="10">
        <f t="shared" ref="J26:J43" si="11">K26-I26</f>
        <v>520</v>
      </c>
      <c r="K26" s="10">
        <v>4815</v>
      </c>
      <c r="L26" s="10">
        <v>0</v>
      </c>
      <c r="M26" s="10">
        <f t="shared" ref="M26:M43" si="12">K26-H26</f>
        <v>0</v>
      </c>
    </row>
    <row r="27" spans="1:13" x14ac:dyDescent="0.25">
      <c r="A27" s="8" t="s">
        <v>238</v>
      </c>
      <c r="B27" s="9" t="s">
        <v>239</v>
      </c>
      <c r="C27" s="8"/>
      <c r="D27" s="8"/>
      <c r="E27" s="10">
        <v>0</v>
      </c>
      <c r="F27" s="10">
        <v>0</v>
      </c>
      <c r="G27" s="10">
        <v>0</v>
      </c>
      <c r="H27" s="10">
        <f t="shared" si="10"/>
        <v>0</v>
      </c>
      <c r="I27" s="10">
        <v>0</v>
      </c>
      <c r="J27" s="10">
        <f t="shared" si="11"/>
        <v>0</v>
      </c>
      <c r="K27" s="10">
        <v>0</v>
      </c>
      <c r="L27" s="10">
        <v>0</v>
      </c>
      <c r="M27" s="10">
        <f t="shared" si="12"/>
        <v>0</v>
      </c>
    </row>
    <row r="28" spans="1:13" ht="51" x14ac:dyDescent="0.25">
      <c r="A28" s="8" t="s">
        <v>240</v>
      </c>
      <c r="B28" s="9" t="s">
        <v>241</v>
      </c>
      <c r="C28" s="8"/>
      <c r="D28" s="8"/>
      <c r="E28" s="10">
        <v>240000</v>
      </c>
      <c r="F28" s="10">
        <v>0</v>
      </c>
      <c r="G28" s="10">
        <v>0</v>
      </c>
      <c r="H28" s="10">
        <f t="shared" si="10"/>
        <v>240000</v>
      </c>
      <c r="I28" s="10">
        <f>ROUND(102794,0)</f>
        <v>102794</v>
      </c>
      <c r="J28" s="10">
        <f t="shared" si="11"/>
        <v>30029</v>
      </c>
      <c r="K28" s="10">
        <f>ROUND(132823.47,0)</f>
        <v>132823</v>
      </c>
      <c r="L28" s="10">
        <v>0</v>
      </c>
      <c r="M28" s="10">
        <f t="shared" si="12"/>
        <v>-107177</v>
      </c>
    </row>
    <row r="29" spans="1:13" x14ac:dyDescent="0.25">
      <c r="A29" s="8" t="s">
        <v>242</v>
      </c>
      <c r="B29" s="9" t="s">
        <v>243</v>
      </c>
      <c r="C29" s="8"/>
      <c r="D29" s="8"/>
      <c r="E29" s="10">
        <v>50000</v>
      </c>
      <c r="F29" s="10">
        <v>0</v>
      </c>
      <c r="G29" s="10">
        <v>0</v>
      </c>
      <c r="H29" s="10">
        <f t="shared" si="10"/>
        <v>50000</v>
      </c>
      <c r="I29" s="10">
        <f>ROUND(40074.84,0)</f>
        <v>40075</v>
      </c>
      <c r="J29" s="10">
        <f t="shared" si="11"/>
        <v>2717</v>
      </c>
      <c r="K29" s="10">
        <f>ROUND(42792.26,0)</f>
        <v>42792</v>
      </c>
      <c r="L29" s="10">
        <v>0</v>
      </c>
      <c r="M29" s="10">
        <f t="shared" si="12"/>
        <v>-7208</v>
      </c>
    </row>
    <row r="30" spans="1:13" ht="25.5" x14ac:dyDescent="0.25">
      <c r="A30" s="8" t="s">
        <v>244</v>
      </c>
      <c r="B30" s="9" t="s">
        <v>245</v>
      </c>
      <c r="C30" s="8"/>
      <c r="D30" s="8"/>
      <c r="E30" s="10">
        <v>0</v>
      </c>
      <c r="F30" s="10">
        <v>0</v>
      </c>
      <c r="G30" s="10">
        <v>0</v>
      </c>
      <c r="H30" s="10">
        <f t="shared" si="10"/>
        <v>0</v>
      </c>
      <c r="I30" s="10">
        <v>0</v>
      </c>
      <c r="J30" s="10">
        <f t="shared" si="11"/>
        <v>0</v>
      </c>
      <c r="K30" s="10">
        <v>0</v>
      </c>
      <c r="L30" s="10">
        <v>0</v>
      </c>
      <c r="M30" s="10">
        <f t="shared" si="12"/>
        <v>0</v>
      </c>
    </row>
    <row r="31" spans="1:13" x14ac:dyDescent="0.25">
      <c r="A31" s="8" t="s">
        <v>246</v>
      </c>
      <c r="B31" s="9" t="s">
        <v>247</v>
      </c>
      <c r="C31" s="8"/>
      <c r="D31" s="8"/>
      <c r="E31" s="10">
        <v>136000</v>
      </c>
      <c r="F31" s="10">
        <v>0</v>
      </c>
      <c r="G31" s="10">
        <v>0</v>
      </c>
      <c r="H31" s="10">
        <f t="shared" si="10"/>
        <v>136000</v>
      </c>
      <c r="I31" s="10">
        <f>ROUND(65429.53,0)</f>
        <v>65430</v>
      </c>
      <c r="J31" s="10">
        <f t="shared" si="11"/>
        <v>63527</v>
      </c>
      <c r="K31" s="10">
        <f>ROUND(128956.56,0)</f>
        <v>128957</v>
      </c>
      <c r="L31" s="10">
        <v>0</v>
      </c>
      <c r="M31" s="10">
        <f t="shared" si="12"/>
        <v>-7043</v>
      </c>
    </row>
    <row r="32" spans="1:13" x14ac:dyDescent="0.25">
      <c r="A32" s="8" t="s">
        <v>248</v>
      </c>
      <c r="B32" s="9" t="s">
        <v>249</v>
      </c>
      <c r="C32" s="8"/>
      <c r="D32" s="8"/>
      <c r="E32" s="10">
        <v>55000</v>
      </c>
      <c r="F32" s="10">
        <v>0</v>
      </c>
      <c r="G32" s="10">
        <v>0</v>
      </c>
      <c r="H32" s="10">
        <f t="shared" si="10"/>
        <v>55000</v>
      </c>
      <c r="I32" s="10">
        <f>ROUND(43193.69,0)</f>
        <v>43194</v>
      </c>
      <c r="J32" s="10">
        <f t="shared" si="11"/>
        <v>9153</v>
      </c>
      <c r="K32" s="10">
        <f>ROUND(52347.29,0)</f>
        <v>52347</v>
      </c>
      <c r="L32" s="10">
        <v>0</v>
      </c>
      <c r="M32" s="10">
        <f t="shared" si="12"/>
        <v>-2653</v>
      </c>
    </row>
    <row r="33" spans="1:13" x14ac:dyDescent="0.25">
      <c r="A33" s="8" t="s">
        <v>250</v>
      </c>
      <c r="B33" s="9" t="s">
        <v>251</v>
      </c>
      <c r="C33" s="8"/>
      <c r="D33" s="8"/>
      <c r="E33" s="10">
        <v>20000</v>
      </c>
      <c r="F33" s="10">
        <v>0</v>
      </c>
      <c r="G33" s="10">
        <v>0</v>
      </c>
      <c r="H33" s="10">
        <f t="shared" si="10"/>
        <v>20000</v>
      </c>
      <c r="I33" s="10">
        <f>ROUND(18119.15,0)</f>
        <v>18119</v>
      </c>
      <c r="J33" s="10">
        <f t="shared" si="11"/>
        <v>177</v>
      </c>
      <c r="K33" s="10">
        <f>ROUND(18295.95,0)</f>
        <v>18296</v>
      </c>
      <c r="L33" s="10">
        <v>0</v>
      </c>
      <c r="M33" s="10">
        <f t="shared" si="12"/>
        <v>-1704</v>
      </c>
    </row>
    <row r="34" spans="1:13" x14ac:dyDescent="0.25">
      <c r="A34" s="8" t="s">
        <v>252</v>
      </c>
      <c r="B34" s="9" t="s">
        <v>253</v>
      </c>
      <c r="C34" s="8"/>
      <c r="D34" s="8"/>
      <c r="E34" s="10">
        <v>5000</v>
      </c>
      <c r="F34" s="10">
        <v>0</v>
      </c>
      <c r="G34" s="10">
        <v>0</v>
      </c>
      <c r="H34" s="10">
        <f t="shared" si="10"/>
        <v>5000</v>
      </c>
      <c r="I34" s="10">
        <f>ROUND(125,0)</f>
        <v>125</v>
      </c>
      <c r="J34" s="10">
        <f t="shared" si="11"/>
        <v>0</v>
      </c>
      <c r="K34" s="10">
        <f>ROUND(125,0)</f>
        <v>125</v>
      </c>
      <c r="L34" s="10">
        <v>0</v>
      </c>
      <c r="M34" s="10">
        <f t="shared" si="12"/>
        <v>-4875</v>
      </c>
    </row>
    <row r="35" spans="1:13" x14ac:dyDescent="0.25">
      <c r="A35" s="8" t="s">
        <v>254</v>
      </c>
      <c r="B35" s="9" t="s">
        <v>255</v>
      </c>
      <c r="C35" s="8"/>
      <c r="D35" s="8"/>
      <c r="E35" s="10">
        <v>132500</v>
      </c>
      <c r="F35" s="10">
        <v>0</v>
      </c>
      <c r="G35" s="10">
        <f>ROUND(6146.9,0)</f>
        <v>6147</v>
      </c>
      <c r="H35" s="10">
        <f t="shared" si="10"/>
        <v>126353</v>
      </c>
      <c r="I35" s="10">
        <f>ROUND(25543.84,0)</f>
        <v>25544</v>
      </c>
      <c r="J35" s="10">
        <f t="shared" si="11"/>
        <v>100737</v>
      </c>
      <c r="K35" s="10">
        <f>ROUND(126281,0)</f>
        <v>126281</v>
      </c>
      <c r="L35" s="10">
        <v>0</v>
      </c>
      <c r="M35" s="10">
        <f t="shared" si="12"/>
        <v>-72</v>
      </c>
    </row>
    <row r="36" spans="1:13" x14ac:dyDescent="0.25">
      <c r="A36" s="8" t="s">
        <v>256</v>
      </c>
      <c r="B36" s="9" t="s">
        <v>257</v>
      </c>
      <c r="C36" s="8"/>
      <c r="D36" s="8"/>
      <c r="E36" s="10">
        <v>0</v>
      </c>
      <c r="F36" s="10">
        <v>0</v>
      </c>
      <c r="G36" s="10">
        <v>0</v>
      </c>
      <c r="H36" s="10">
        <f t="shared" si="10"/>
        <v>0</v>
      </c>
      <c r="I36" s="10">
        <v>0</v>
      </c>
      <c r="J36" s="10">
        <f t="shared" si="11"/>
        <v>0</v>
      </c>
      <c r="K36" s="10">
        <v>0</v>
      </c>
      <c r="L36" s="10">
        <v>0</v>
      </c>
      <c r="M36" s="10">
        <f t="shared" si="12"/>
        <v>0</v>
      </c>
    </row>
    <row r="37" spans="1:13" ht="25.5" x14ac:dyDescent="0.25">
      <c r="A37" s="8" t="s">
        <v>258</v>
      </c>
      <c r="B37" s="9" t="s">
        <v>259</v>
      </c>
      <c r="C37" s="8"/>
      <c r="D37" s="8"/>
      <c r="E37" s="10">
        <v>0</v>
      </c>
      <c r="F37" s="10">
        <v>0</v>
      </c>
      <c r="G37" s="10">
        <v>0</v>
      </c>
      <c r="H37" s="10">
        <f t="shared" si="10"/>
        <v>0</v>
      </c>
      <c r="I37" s="10">
        <v>0</v>
      </c>
      <c r="J37" s="10">
        <f t="shared" si="11"/>
        <v>0</v>
      </c>
      <c r="K37" s="10">
        <v>0</v>
      </c>
      <c r="L37" s="10">
        <v>0</v>
      </c>
      <c r="M37" s="10">
        <f t="shared" si="12"/>
        <v>0</v>
      </c>
    </row>
    <row r="38" spans="1:13" ht="25.5" x14ac:dyDescent="0.25">
      <c r="A38" s="8" t="s">
        <v>260</v>
      </c>
      <c r="B38" s="9" t="s">
        <v>261</v>
      </c>
      <c r="C38" s="8"/>
      <c r="D38" s="8"/>
      <c r="E38" s="10">
        <v>6000</v>
      </c>
      <c r="F38" s="10">
        <f>ROUND(3021.9,0)</f>
        <v>3022</v>
      </c>
      <c r="G38" s="10">
        <v>0</v>
      </c>
      <c r="H38" s="10">
        <f t="shared" si="10"/>
        <v>9022</v>
      </c>
      <c r="I38" s="10">
        <f>ROUND(9021.9,0)</f>
        <v>9022</v>
      </c>
      <c r="J38" s="10">
        <f t="shared" si="11"/>
        <v>0</v>
      </c>
      <c r="K38" s="10">
        <f>ROUND(9021.9,0)</f>
        <v>9022</v>
      </c>
      <c r="L38" s="10">
        <v>0</v>
      </c>
      <c r="M38" s="10">
        <f t="shared" si="12"/>
        <v>0</v>
      </c>
    </row>
    <row r="39" spans="1:13" x14ac:dyDescent="0.25">
      <c r="A39" s="8" t="s">
        <v>262</v>
      </c>
      <c r="B39" s="9" t="s">
        <v>263</v>
      </c>
      <c r="C39" s="8"/>
      <c r="D39" s="8"/>
      <c r="E39" s="10">
        <v>15000</v>
      </c>
      <c r="F39" s="10">
        <v>3125</v>
      </c>
      <c r="G39" s="10">
        <v>0</v>
      </c>
      <c r="H39" s="10">
        <f t="shared" si="10"/>
        <v>18125</v>
      </c>
      <c r="I39" s="10">
        <f>ROUND(5950,0)</f>
        <v>5950</v>
      </c>
      <c r="J39" s="10">
        <f t="shared" si="11"/>
        <v>12175</v>
      </c>
      <c r="K39" s="10">
        <f>ROUND(18125,0)</f>
        <v>18125</v>
      </c>
      <c r="L39" s="10">
        <v>0</v>
      </c>
      <c r="M39" s="10">
        <f t="shared" si="12"/>
        <v>0</v>
      </c>
    </row>
    <row r="40" spans="1:13" x14ac:dyDescent="0.25">
      <c r="A40" s="8" t="s">
        <v>264</v>
      </c>
      <c r="B40" s="9" t="s">
        <v>265</v>
      </c>
      <c r="C40" s="8"/>
      <c r="D40" s="8"/>
      <c r="E40" s="10">
        <v>15000</v>
      </c>
      <c r="F40" s="10">
        <v>0</v>
      </c>
      <c r="G40" s="10">
        <v>0</v>
      </c>
      <c r="H40" s="10">
        <f t="shared" si="10"/>
        <v>15000</v>
      </c>
      <c r="I40" s="10">
        <f>ROUND(11287.43,0)</f>
        <v>11287</v>
      </c>
      <c r="J40" s="10">
        <f t="shared" si="11"/>
        <v>1184</v>
      </c>
      <c r="K40" s="10">
        <f>ROUND(12470.75,0)</f>
        <v>12471</v>
      </c>
      <c r="L40" s="10">
        <v>0</v>
      </c>
      <c r="M40" s="10">
        <f t="shared" si="12"/>
        <v>-2529</v>
      </c>
    </row>
    <row r="41" spans="1:13" x14ac:dyDescent="0.25">
      <c r="A41" s="8" t="s">
        <v>266</v>
      </c>
      <c r="B41" s="9" t="s">
        <v>267</v>
      </c>
      <c r="C41" s="8"/>
      <c r="D41" s="8"/>
      <c r="E41" s="10">
        <v>1000</v>
      </c>
      <c r="F41" s="10">
        <v>0</v>
      </c>
      <c r="G41" s="10">
        <v>0</v>
      </c>
      <c r="H41" s="10">
        <f t="shared" si="10"/>
        <v>1000</v>
      </c>
      <c r="I41" s="10">
        <f>ROUND(885,0)</f>
        <v>885</v>
      </c>
      <c r="J41" s="10">
        <f t="shared" si="11"/>
        <v>0</v>
      </c>
      <c r="K41" s="10">
        <v>885</v>
      </c>
      <c r="L41" s="10">
        <v>0</v>
      </c>
      <c r="M41" s="10">
        <f t="shared" si="12"/>
        <v>-115</v>
      </c>
    </row>
    <row r="42" spans="1:13" x14ac:dyDescent="0.25">
      <c r="A42" s="8" t="s">
        <v>268</v>
      </c>
      <c r="B42" s="9" t="s">
        <v>269</v>
      </c>
      <c r="C42" s="8"/>
      <c r="D42" s="8"/>
      <c r="E42" s="10">
        <v>70000</v>
      </c>
      <c r="F42" s="10">
        <v>0</v>
      </c>
      <c r="G42" s="10">
        <v>0</v>
      </c>
      <c r="H42" s="10">
        <f t="shared" si="10"/>
        <v>70000</v>
      </c>
      <c r="I42" s="10">
        <f>ROUND(5933.44,0)</f>
        <v>5933</v>
      </c>
      <c r="J42" s="10">
        <f t="shared" si="11"/>
        <v>6609</v>
      </c>
      <c r="K42" s="10">
        <f>ROUND(12541.71,0)</f>
        <v>12542</v>
      </c>
      <c r="L42" s="10">
        <v>0</v>
      </c>
      <c r="M42" s="10">
        <f t="shared" si="12"/>
        <v>-57458</v>
      </c>
    </row>
    <row r="43" spans="1:13" ht="25.5" x14ac:dyDescent="0.25">
      <c r="A43" s="8" t="s">
        <v>270</v>
      </c>
      <c r="B43" s="9" t="s">
        <v>271</v>
      </c>
      <c r="C43" s="8"/>
      <c r="D43" s="8"/>
      <c r="E43" s="10">
        <v>0</v>
      </c>
      <c r="F43" s="10">
        <v>0</v>
      </c>
      <c r="G43" s="10">
        <v>0</v>
      </c>
      <c r="H43" s="10">
        <f t="shared" si="10"/>
        <v>0</v>
      </c>
      <c r="I43" s="10">
        <v>0</v>
      </c>
      <c r="J43" s="10">
        <f t="shared" si="11"/>
        <v>0</v>
      </c>
      <c r="K43" s="10">
        <v>0</v>
      </c>
      <c r="L43" s="10">
        <v>0</v>
      </c>
      <c r="M43" s="10">
        <f t="shared" si="12"/>
        <v>0</v>
      </c>
    </row>
    <row r="44" spans="1:13" x14ac:dyDescent="0.25">
      <c r="A44" s="163" t="s">
        <v>272</v>
      </c>
      <c r="B44" s="163"/>
      <c r="C44" s="163"/>
      <c r="D44" s="163"/>
      <c r="E44" s="11">
        <f>SUM(E26:E43)</f>
        <v>750315</v>
      </c>
      <c r="F44" s="11">
        <f t="shared" ref="F44:H44" si="13">SUM(F26:F43)</f>
        <v>6147</v>
      </c>
      <c r="G44" s="11">
        <f t="shared" si="13"/>
        <v>6147</v>
      </c>
      <c r="H44" s="11">
        <f t="shared" si="13"/>
        <v>750315</v>
      </c>
      <c r="I44" s="11">
        <f>SUM(I26:I43)</f>
        <v>332653</v>
      </c>
      <c r="J44" s="11">
        <f t="shared" ref="J44:K44" si="14">SUM(J26:J43)</f>
        <v>226828</v>
      </c>
      <c r="K44" s="11">
        <f t="shared" si="14"/>
        <v>559481</v>
      </c>
      <c r="L44" s="11">
        <v>0</v>
      </c>
      <c r="M44" s="11">
        <f>SUM(M26:M43)</f>
        <v>-190834</v>
      </c>
    </row>
    <row r="45" spans="1:13" x14ac:dyDescent="0.25">
      <c r="A45" s="6" t="s">
        <v>273</v>
      </c>
      <c r="B45" s="173" t="s">
        <v>274</v>
      </c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</row>
    <row r="46" spans="1:13" ht="25.5" x14ac:dyDescent="0.25">
      <c r="A46" s="8" t="s">
        <v>275</v>
      </c>
      <c r="B46" s="9" t="s">
        <v>276</v>
      </c>
      <c r="C46" s="8"/>
      <c r="D46" s="8"/>
      <c r="E46" s="10">
        <v>2150000</v>
      </c>
      <c r="F46" s="10">
        <v>0</v>
      </c>
      <c r="G46" s="10">
        <v>0</v>
      </c>
      <c r="H46" s="10">
        <f t="shared" ref="H46:H50" si="15">E46+F46-G46</f>
        <v>2150000</v>
      </c>
      <c r="I46" s="10">
        <f>ROUND(1367643.08,0)</f>
        <v>1367643</v>
      </c>
      <c r="J46" s="10">
        <f t="shared" ref="J46:J50" si="16">K46-I46</f>
        <v>416506</v>
      </c>
      <c r="K46" s="10">
        <f>ROUND(1784148.52,0)</f>
        <v>1784149</v>
      </c>
      <c r="L46" s="10">
        <v>0</v>
      </c>
      <c r="M46" s="10">
        <f>K46-H46</f>
        <v>-365851</v>
      </c>
    </row>
    <row r="47" spans="1:13" ht="38.25" x14ac:dyDescent="0.25">
      <c r="A47" s="8" t="s">
        <v>277</v>
      </c>
      <c r="B47" s="9" t="s">
        <v>278</v>
      </c>
      <c r="C47" s="8"/>
      <c r="D47" s="8"/>
      <c r="E47" s="10">
        <v>4000000</v>
      </c>
      <c r="F47" s="10">
        <v>850000</v>
      </c>
      <c r="G47" s="10">
        <v>0</v>
      </c>
      <c r="H47" s="10">
        <f t="shared" si="15"/>
        <v>4850000</v>
      </c>
      <c r="I47" s="10">
        <f>ROUND(1688898.56,0)</f>
        <v>1688899</v>
      </c>
      <c r="J47" s="10">
        <f t="shared" si="16"/>
        <v>2279269</v>
      </c>
      <c r="K47" s="10">
        <f>ROUND(3968168.01,0)</f>
        <v>3968168</v>
      </c>
      <c r="L47" s="10">
        <v>0</v>
      </c>
      <c r="M47" s="10">
        <f t="shared" ref="M47:M50" si="17">K47-H47</f>
        <v>-881832</v>
      </c>
    </row>
    <row r="48" spans="1:13" ht="38.25" x14ac:dyDescent="0.25">
      <c r="A48" s="8" t="s">
        <v>279</v>
      </c>
      <c r="B48" s="9" t="s">
        <v>280</v>
      </c>
      <c r="C48" s="8"/>
      <c r="D48" s="8"/>
      <c r="E48" s="10">
        <v>205000</v>
      </c>
      <c r="F48" s="10">
        <v>0</v>
      </c>
      <c r="G48" s="10">
        <v>0</v>
      </c>
      <c r="H48" s="10">
        <f t="shared" si="15"/>
        <v>205000</v>
      </c>
      <c r="I48" s="10">
        <v>0</v>
      </c>
      <c r="J48" s="10">
        <f t="shared" si="16"/>
        <v>0</v>
      </c>
      <c r="K48" s="10">
        <v>0</v>
      </c>
      <c r="L48" s="10">
        <v>0</v>
      </c>
      <c r="M48" s="10">
        <f t="shared" si="17"/>
        <v>-205000</v>
      </c>
    </row>
    <row r="49" spans="1:13" x14ac:dyDescent="0.25">
      <c r="A49" s="8" t="s">
        <v>281</v>
      </c>
      <c r="B49" s="9" t="s">
        <v>282</v>
      </c>
      <c r="C49" s="8"/>
      <c r="D49" s="8"/>
      <c r="E49" s="10">
        <v>170000</v>
      </c>
      <c r="F49" s="10">
        <v>0</v>
      </c>
      <c r="G49" s="10">
        <v>0</v>
      </c>
      <c r="H49" s="10">
        <f t="shared" si="15"/>
        <v>170000</v>
      </c>
      <c r="I49" s="10">
        <f>ROUND(97612.48,0)</f>
        <v>97612</v>
      </c>
      <c r="J49" s="10">
        <f t="shared" si="16"/>
        <v>72287</v>
      </c>
      <c r="K49" s="10">
        <f>ROUND(169898.7,0)</f>
        <v>169899</v>
      </c>
      <c r="L49" s="10">
        <v>0</v>
      </c>
      <c r="M49" s="10">
        <f t="shared" si="17"/>
        <v>-101</v>
      </c>
    </row>
    <row r="50" spans="1:13" ht="25.5" x14ac:dyDescent="0.25">
      <c r="A50" s="8" t="s">
        <v>283</v>
      </c>
      <c r="B50" s="9" t="s">
        <v>284</v>
      </c>
      <c r="C50" s="8"/>
      <c r="D50" s="8"/>
      <c r="E50" s="10">
        <v>0</v>
      </c>
      <c r="F50" s="10">
        <v>0</v>
      </c>
      <c r="G50" s="10">
        <v>0</v>
      </c>
      <c r="H50" s="10">
        <f t="shared" si="15"/>
        <v>0</v>
      </c>
      <c r="I50" s="10">
        <v>0</v>
      </c>
      <c r="J50" s="10">
        <f t="shared" si="16"/>
        <v>0</v>
      </c>
      <c r="K50" s="10">
        <v>0</v>
      </c>
      <c r="L50" s="10">
        <v>0</v>
      </c>
      <c r="M50" s="10">
        <f t="shared" si="17"/>
        <v>0</v>
      </c>
    </row>
    <row r="51" spans="1:13" x14ac:dyDescent="0.25">
      <c r="A51" s="163" t="s">
        <v>285</v>
      </c>
      <c r="B51" s="163"/>
      <c r="C51" s="163"/>
      <c r="D51" s="163"/>
      <c r="E51" s="11">
        <f>SUM(E46:E50)</f>
        <v>6525000</v>
      </c>
      <c r="F51" s="11">
        <f t="shared" ref="F51:H51" si="18">SUM(F46:F50)</f>
        <v>850000</v>
      </c>
      <c r="G51" s="11">
        <f t="shared" si="18"/>
        <v>0</v>
      </c>
      <c r="H51" s="11">
        <f t="shared" si="18"/>
        <v>7375000</v>
      </c>
      <c r="I51" s="11">
        <f>SUM(I46:I50)</f>
        <v>3154154</v>
      </c>
      <c r="J51" s="11">
        <f>SUM(J46:J50)</f>
        <v>2768062</v>
      </c>
      <c r="K51" s="11">
        <f>SUM(K46:K50)</f>
        <v>5922216</v>
      </c>
      <c r="L51" s="11">
        <v>0</v>
      </c>
      <c r="M51" s="11">
        <f>SUM(M46:M50)</f>
        <v>-1452784</v>
      </c>
    </row>
    <row r="52" spans="1:13" x14ac:dyDescent="0.25">
      <c r="A52" s="6" t="s">
        <v>286</v>
      </c>
      <c r="B52" s="173" t="s">
        <v>287</v>
      </c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174"/>
    </row>
    <row r="53" spans="1:13" ht="25.5" x14ac:dyDescent="0.25">
      <c r="A53" s="8" t="s">
        <v>288</v>
      </c>
      <c r="B53" s="9" t="s">
        <v>289</v>
      </c>
      <c r="C53" s="8"/>
      <c r="D53" s="8"/>
      <c r="E53" s="10">
        <v>493200</v>
      </c>
      <c r="F53" s="10">
        <v>0</v>
      </c>
      <c r="G53" s="10">
        <v>0</v>
      </c>
      <c r="H53" s="10">
        <f t="shared" ref="H53:H55" si="19">E53+F53-G53</f>
        <v>493200</v>
      </c>
      <c r="I53" s="10">
        <f>ROUND(287423.41,0)</f>
        <v>287423</v>
      </c>
      <c r="J53" s="10">
        <f t="shared" ref="J53:J55" si="20">K53-I53</f>
        <v>146597</v>
      </c>
      <c r="K53" s="10">
        <f>ROUND(434019.67,0)</f>
        <v>434020</v>
      </c>
      <c r="L53" s="10">
        <v>0</v>
      </c>
      <c r="M53" s="10">
        <f t="shared" ref="M53:M55" si="21">K53-H53</f>
        <v>-59180</v>
      </c>
    </row>
    <row r="54" spans="1:13" ht="38.25" x14ac:dyDescent="0.25">
      <c r="A54" s="8" t="s">
        <v>290</v>
      </c>
      <c r="B54" s="9" t="s">
        <v>291</v>
      </c>
      <c r="C54" s="8"/>
      <c r="D54" s="8"/>
      <c r="E54" s="10">
        <v>0</v>
      </c>
      <c r="F54" s="10">
        <v>0</v>
      </c>
      <c r="G54" s="10">
        <v>0</v>
      </c>
      <c r="H54" s="10">
        <f t="shared" si="19"/>
        <v>0</v>
      </c>
      <c r="I54" s="10">
        <v>0</v>
      </c>
      <c r="J54" s="10">
        <f t="shared" si="20"/>
        <v>0</v>
      </c>
      <c r="K54" s="10">
        <v>0</v>
      </c>
      <c r="L54" s="10">
        <v>0</v>
      </c>
      <c r="M54" s="10">
        <f t="shared" si="21"/>
        <v>0</v>
      </c>
    </row>
    <row r="55" spans="1:13" ht="25.5" x14ac:dyDescent="0.25">
      <c r="A55" s="8" t="s">
        <v>292</v>
      </c>
      <c r="B55" s="9" t="s">
        <v>293</v>
      </c>
      <c r="C55" s="8"/>
      <c r="D55" s="8"/>
      <c r="E55" s="10">
        <v>20000</v>
      </c>
      <c r="F55" s="10">
        <v>0</v>
      </c>
      <c r="G55" s="10">
        <v>0</v>
      </c>
      <c r="H55" s="10">
        <f t="shared" si="19"/>
        <v>20000</v>
      </c>
      <c r="I55" s="10">
        <v>0</v>
      </c>
      <c r="J55" s="10">
        <f t="shared" si="20"/>
        <v>0</v>
      </c>
      <c r="K55" s="10">
        <v>0</v>
      </c>
      <c r="L55" s="10">
        <v>0</v>
      </c>
      <c r="M55" s="10">
        <f t="shared" si="21"/>
        <v>-20000</v>
      </c>
    </row>
    <row r="56" spans="1:13" x14ac:dyDescent="0.25">
      <c r="A56" s="163" t="s">
        <v>294</v>
      </c>
      <c r="B56" s="163"/>
      <c r="C56" s="163"/>
      <c r="D56" s="163"/>
      <c r="E56" s="11">
        <f>SUM(E53:E55)</f>
        <v>513200</v>
      </c>
      <c r="F56" s="11">
        <f t="shared" ref="F56:H56" si="22">SUM(F53:F55)</f>
        <v>0</v>
      </c>
      <c r="G56" s="11">
        <f t="shared" si="22"/>
        <v>0</v>
      </c>
      <c r="H56" s="11">
        <f t="shared" si="22"/>
        <v>513200</v>
      </c>
      <c r="I56" s="11">
        <f>SUM(I53:I55)</f>
        <v>287423</v>
      </c>
      <c r="J56" s="11">
        <f t="shared" ref="J56:M56" si="23">SUM(J53:J55)</f>
        <v>146597</v>
      </c>
      <c r="K56" s="11">
        <f t="shared" si="23"/>
        <v>434020</v>
      </c>
      <c r="L56" s="11">
        <f t="shared" si="23"/>
        <v>0</v>
      </c>
      <c r="M56" s="11">
        <f t="shared" si="23"/>
        <v>-79180</v>
      </c>
    </row>
    <row r="57" spans="1:13" x14ac:dyDescent="0.25">
      <c r="A57" s="6" t="s">
        <v>295</v>
      </c>
      <c r="B57" s="173" t="s">
        <v>296</v>
      </c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</row>
    <row r="58" spans="1:13" x14ac:dyDescent="0.25">
      <c r="A58" s="8" t="s">
        <v>297</v>
      </c>
      <c r="B58" s="9" t="s">
        <v>298</v>
      </c>
      <c r="C58" s="8"/>
      <c r="D58" s="8"/>
      <c r="E58" s="10">
        <v>25000</v>
      </c>
      <c r="F58" s="10">
        <v>0</v>
      </c>
      <c r="G58" s="10">
        <v>0</v>
      </c>
      <c r="H58" s="10">
        <v>25000</v>
      </c>
      <c r="I58" s="10">
        <f>ROUND(23881.11,0)</f>
        <v>23881</v>
      </c>
      <c r="J58" s="10">
        <f>K58-I58</f>
        <v>119</v>
      </c>
      <c r="K58" s="10">
        <f>ROUND(23999.71,0)</f>
        <v>24000</v>
      </c>
      <c r="L58" s="10">
        <v>0</v>
      </c>
      <c r="M58" s="10">
        <f t="shared" ref="M58" si="24">K58-H58</f>
        <v>-1000</v>
      </c>
    </row>
    <row r="59" spans="1:13" x14ac:dyDescent="0.25">
      <c r="A59" s="163" t="s">
        <v>299</v>
      </c>
      <c r="B59" s="163"/>
      <c r="C59" s="163"/>
      <c r="D59" s="163"/>
      <c r="E59" s="11">
        <v>25000</v>
      </c>
      <c r="F59" s="11">
        <v>0</v>
      </c>
      <c r="G59" s="11">
        <v>0</v>
      </c>
      <c r="H59" s="11">
        <v>25000</v>
      </c>
      <c r="I59" s="11">
        <f>SUM(I58)</f>
        <v>23881</v>
      </c>
      <c r="J59" s="11">
        <f t="shared" ref="J59:K59" si="25">SUM(J58)</f>
        <v>119</v>
      </c>
      <c r="K59" s="11">
        <f t="shared" si="25"/>
        <v>24000</v>
      </c>
      <c r="L59" s="11">
        <v>0</v>
      </c>
      <c r="M59" s="11">
        <f>SUM(M58)</f>
        <v>-1000</v>
      </c>
    </row>
    <row r="60" spans="1:13" x14ac:dyDescent="0.25">
      <c r="A60" s="6" t="s">
        <v>300</v>
      </c>
      <c r="B60" s="173" t="s">
        <v>301</v>
      </c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</row>
    <row r="61" spans="1:13" x14ac:dyDescent="0.25">
      <c r="A61" s="8" t="s">
        <v>302</v>
      </c>
      <c r="B61" s="9" t="s">
        <v>303</v>
      </c>
      <c r="C61" s="8"/>
      <c r="D61" s="8"/>
      <c r="E61" s="10">
        <v>887633</v>
      </c>
      <c r="F61" s="10">
        <v>200000</v>
      </c>
      <c r="G61" s="10">
        <v>0</v>
      </c>
      <c r="H61" s="10">
        <f t="shared" ref="H61" si="26">E61+F61-G61</f>
        <v>1087633</v>
      </c>
      <c r="I61" s="10">
        <f>ROUND(1026137.34,0)</f>
        <v>1026137</v>
      </c>
      <c r="J61" s="10">
        <f>K61-I61</f>
        <v>53941</v>
      </c>
      <c r="K61" s="10">
        <f>ROUND(1080077.57,0)</f>
        <v>1080078</v>
      </c>
      <c r="L61" s="10">
        <v>0</v>
      </c>
      <c r="M61" s="10">
        <f t="shared" ref="M61" si="27">K61-H61</f>
        <v>-7555</v>
      </c>
    </row>
    <row r="62" spans="1:13" x14ac:dyDescent="0.25">
      <c r="A62" s="163" t="s">
        <v>304</v>
      </c>
      <c r="B62" s="163"/>
      <c r="C62" s="163"/>
      <c r="D62" s="163"/>
      <c r="E62" s="11">
        <f>SUM(E61)</f>
        <v>887633</v>
      </c>
      <c r="F62" s="11">
        <f>F61</f>
        <v>200000</v>
      </c>
      <c r="G62" s="11">
        <v>0</v>
      </c>
      <c r="H62" s="11">
        <f>SUM(H61)</f>
        <v>1087633</v>
      </c>
      <c r="I62" s="11">
        <f>SUM(I61)</f>
        <v>1026137</v>
      </c>
      <c r="J62" s="11">
        <f t="shared" ref="J62:K62" si="28">SUM(J61)</f>
        <v>53941</v>
      </c>
      <c r="K62" s="11">
        <f t="shared" si="28"/>
        <v>1080078</v>
      </c>
      <c r="L62" s="11">
        <v>0</v>
      </c>
      <c r="M62" s="11">
        <f>SUM(M61)</f>
        <v>-7555</v>
      </c>
    </row>
    <row r="63" spans="1:13" x14ac:dyDescent="0.25">
      <c r="A63" s="6" t="s">
        <v>305</v>
      </c>
      <c r="B63" s="173" t="s">
        <v>306</v>
      </c>
      <c r="C63" s="174"/>
      <c r="D63" s="174"/>
      <c r="E63" s="174"/>
      <c r="F63" s="174"/>
      <c r="G63" s="174"/>
      <c r="H63" s="174"/>
      <c r="I63" s="174"/>
      <c r="J63" s="174"/>
      <c r="K63" s="174"/>
      <c r="L63" s="174"/>
      <c r="M63" s="174"/>
    </row>
    <row r="64" spans="1:13" x14ac:dyDescent="0.25">
      <c r="A64" s="8" t="s">
        <v>307</v>
      </c>
      <c r="B64" s="9" t="s">
        <v>308</v>
      </c>
      <c r="C64" s="8"/>
      <c r="D64" s="8"/>
      <c r="E64" s="10">
        <v>15000</v>
      </c>
      <c r="F64" s="10">
        <v>0</v>
      </c>
      <c r="G64" s="10">
        <v>0</v>
      </c>
      <c r="H64" s="10">
        <v>15000</v>
      </c>
      <c r="I64" s="10">
        <v>0</v>
      </c>
      <c r="J64" s="10">
        <v>0</v>
      </c>
      <c r="K64" s="10">
        <v>0</v>
      </c>
      <c r="L64" s="10">
        <v>0</v>
      </c>
      <c r="M64" s="10">
        <f t="shared" ref="M64" si="29">K64-H64</f>
        <v>-15000</v>
      </c>
    </row>
    <row r="65" spans="1:13" x14ac:dyDescent="0.25">
      <c r="A65" s="163" t="s">
        <v>309</v>
      </c>
      <c r="B65" s="163"/>
      <c r="C65" s="163"/>
      <c r="D65" s="163"/>
      <c r="E65" s="11">
        <v>15000</v>
      </c>
      <c r="F65" s="11">
        <v>0</v>
      </c>
      <c r="G65" s="11">
        <v>0</v>
      </c>
      <c r="H65" s="11">
        <v>15000</v>
      </c>
      <c r="I65" s="11">
        <v>0</v>
      </c>
      <c r="J65" s="11">
        <v>0</v>
      </c>
      <c r="K65" s="11">
        <v>0</v>
      </c>
      <c r="L65" s="11">
        <v>0</v>
      </c>
      <c r="M65" s="11">
        <v>-15000</v>
      </c>
    </row>
    <row r="66" spans="1:13" x14ac:dyDescent="0.25">
      <c r="A66" s="6" t="s">
        <v>310</v>
      </c>
      <c r="B66" s="173" t="s">
        <v>311</v>
      </c>
      <c r="C66" s="174"/>
      <c r="D66" s="174"/>
      <c r="E66" s="174"/>
      <c r="F66" s="174"/>
      <c r="G66" s="174"/>
      <c r="H66" s="174"/>
      <c r="I66" s="174"/>
      <c r="J66" s="174"/>
      <c r="K66" s="174"/>
      <c r="L66" s="174"/>
      <c r="M66" s="174"/>
    </row>
    <row r="67" spans="1:13" x14ac:dyDescent="0.25">
      <c r="A67" s="8" t="s">
        <v>312</v>
      </c>
      <c r="B67" s="9" t="s">
        <v>313</v>
      </c>
      <c r="C67" s="8"/>
      <c r="D67" s="8"/>
      <c r="E67" s="10">
        <v>0</v>
      </c>
      <c r="F67" s="10">
        <v>0</v>
      </c>
      <c r="G67" s="10">
        <v>0</v>
      </c>
      <c r="H67" s="10">
        <f t="shared" ref="H67:H70" si="30">E67+F67-G67</f>
        <v>0</v>
      </c>
      <c r="I67" s="10">
        <v>0</v>
      </c>
      <c r="J67" s="10">
        <v>0</v>
      </c>
      <c r="K67" s="10">
        <v>0</v>
      </c>
      <c r="L67" s="10">
        <v>0</v>
      </c>
      <c r="M67" s="10">
        <f t="shared" ref="M67:M70" si="31">K67-H67</f>
        <v>0</v>
      </c>
    </row>
    <row r="68" spans="1:13" x14ac:dyDescent="0.25">
      <c r="A68" s="8" t="s">
        <v>314</v>
      </c>
      <c r="B68" s="9" t="s">
        <v>315</v>
      </c>
      <c r="C68" s="8"/>
      <c r="D68" s="8"/>
      <c r="E68" s="10">
        <v>200000</v>
      </c>
      <c r="F68" s="10">
        <v>0</v>
      </c>
      <c r="G68" s="10">
        <v>0</v>
      </c>
      <c r="H68" s="10">
        <f t="shared" si="30"/>
        <v>200000</v>
      </c>
      <c r="I68" s="10">
        <v>0</v>
      </c>
      <c r="J68" s="10">
        <v>0</v>
      </c>
      <c r="K68" s="10">
        <v>0</v>
      </c>
      <c r="L68" s="10">
        <v>0</v>
      </c>
      <c r="M68" s="10">
        <f t="shared" si="31"/>
        <v>-200000</v>
      </c>
    </row>
    <row r="69" spans="1:13" x14ac:dyDescent="0.25">
      <c r="A69" s="8" t="s">
        <v>316</v>
      </c>
      <c r="B69" s="9" t="s">
        <v>317</v>
      </c>
      <c r="C69" s="8"/>
      <c r="D69" s="8"/>
      <c r="E69" s="10">
        <v>308863</v>
      </c>
      <c r="F69" s="10">
        <v>0</v>
      </c>
      <c r="G69" s="10">
        <v>0</v>
      </c>
      <c r="H69" s="10">
        <f t="shared" si="30"/>
        <v>308863</v>
      </c>
      <c r="I69" s="10">
        <v>308863</v>
      </c>
      <c r="J69" s="10">
        <v>0</v>
      </c>
      <c r="K69" s="10">
        <v>308863</v>
      </c>
      <c r="L69" s="10">
        <v>0</v>
      </c>
      <c r="M69" s="10">
        <f t="shared" si="31"/>
        <v>0</v>
      </c>
    </row>
    <row r="70" spans="1:13" x14ac:dyDescent="0.25">
      <c r="A70" s="8" t="s">
        <v>318</v>
      </c>
      <c r="B70" s="9" t="s">
        <v>319</v>
      </c>
      <c r="C70" s="8"/>
      <c r="D70" s="8"/>
      <c r="E70" s="10">
        <v>0</v>
      </c>
      <c r="F70" s="10">
        <v>0</v>
      </c>
      <c r="G70" s="10">
        <v>0</v>
      </c>
      <c r="H70" s="10">
        <f t="shared" si="30"/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31"/>
        <v>0</v>
      </c>
    </row>
    <row r="71" spans="1:13" x14ac:dyDescent="0.25">
      <c r="A71" s="163" t="s">
        <v>320</v>
      </c>
      <c r="B71" s="163"/>
      <c r="C71" s="163"/>
      <c r="D71" s="163"/>
      <c r="E71" s="11">
        <f>SUM(E67:E70)</f>
        <v>508863</v>
      </c>
      <c r="F71" s="11">
        <v>0</v>
      </c>
      <c r="G71" s="11">
        <f>SUM(G67:G70)</f>
        <v>0</v>
      </c>
      <c r="H71" s="11">
        <f>SUM(H67:H70)</f>
        <v>508863</v>
      </c>
      <c r="I71" s="11">
        <v>308863</v>
      </c>
      <c r="J71" s="11">
        <v>0</v>
      </c>
      <c r="K71" s="11">
        <v>308863</v>
      </c>
      <c r="L71" s="11">
        <v>0</v>
      </c>
      <c r="M71" s="11">
        <f>SUM(M67:M70)</f>
        <v>-200000</v>
      </c>
    </row>
    <row r="72" spans="1:13" x14ac:dyDescent="0.25">
      <c r="A72" s="6" t="s">
        <v>321</v>
      </c>
      <c r="B72" s="173" t="s">
        <v>322</v>
      </c>
      <c r="C72" s="174"/>
      <c r="D72" s="174"/>
      <c r="E72" s="174"/>
      <c r="F72" s="174"/>
      <c r="G72" s="174"/>
      <c r="H72" s="174"/>
      <c r="I72" s="174"/>
      <c r="J72" s="174"/>
      <c r="K72" s="174"/>
      <c r="L72" s="174"/>
      <c r="M72" s="174"/>
    </row>
    <row r="73" spans="1:13" ht="25.5" x14ac:dyDescent="0.25">
      <c r="A73" s="8" t="s">
        <v>323</v>
      </c>
      <c r="B73" s="9" t="s">
        <v>324</v>
      </c>
      <c r="C73" s="8"/>
      <c r="D73" s="8"/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</row>
    <row r="74" spans="1:13" x14ac:dyDescent="0.25">
      <c r="A74" s="163" t="s">
        <v>325</v>
      </c>
      <c r="B74" s="163"/>
      <c r="C74" s="163"/>
      <c r="D74" s="163"/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</row>
    <row r="75" spans="1:13" x14ac:dyDescent="0.25">
      <c r="A75" s="6" t="s">
        <v>326</v>
      </c>
      <c r="B75" s="173" t="s">
        <v>327</v>
      </c>
      <c r="C75" s="174"/>
      <c r="D75" s="174"/>
      <c r="E75" s="174"/>
      <c r="F75" s="174"/>
      <c r="G75" s="174"/>
      <c r="H75" s="174"/>
      <c r="I75" s="174"/>
      <c r="J75" s="174"/>
      <c r="K75" s="174"/>
      <c r="L75" s="174"/>
      <c r="M75" s="174"/>
    </row>
    <row r="76" spans="1:13" ht="25.5" x14ac:dyDescent="0.25">
      <c r="A76" s="8" t="s">
        <v>328</v>
      </c>
      <c r="B76" s="9" t="s">
        <v>329</v>
      </c>
      <c r="C76" s="8"/>
      <c r="D76" s="8"/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</row>
    <row r="77" spans="1:13" x14ac:dyDescent="0.25">
      <c r="A77" s="163" t="s">
        <v>330</v>
      </c>
      <c r="B77" s="163"/>
      <c r="C77" s="163"/>
      <c r="D77" s="163"/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</row>
    <row r="78" spans="1:13" x14ac:dyDescent="0.25">
      <c r="A78" s="6" t="s">
        <v>331</v>
      </c>
      <c r="B78" s="173" t="s">
        <v>332</v>
      </c>
      <c r="C78" s="174"/>
      <c r="D78" s="174"/>
      <c r="E78" s="174"/>
      <c r="F78" s="174"/>
      <c r="G78" s="174"/>
      <c r="H78" s="174"/>
      <c r="I78" s="174"/>
      <c r="J78" s="174"/>
      <c r="K78" s="174"/>
      <c r="L78" s="174"/>
      <c r="M78" s="174"/>
    </row>
    <row r="79" spans="1:13" x14ac:dyDescent="0.25">
      <c r="A79" s="8" t="s">
        <v>333</v>
      </c>
      <c r="B79" s="9" t="s">
        <v>334</v>
      </c>
      <c r="C79" s="8"/>
      <c r="D79" s="8"/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</row>
    <row r="80" spans="1:13" x14ac:dyDescent="0.25">
      <c r="A80" s="163" t="s">
        <v>335</v>
      </c>
      <c r="B80" s="163"/>
      <c r="C80" s="163"/>
      <c r="D80" s="163"/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</row>
    <row r="81" spans="1:14" x14ac:dyDescent="0.25">
      <c r="A81" s="6" t="s">
        <v>336</v>
      </c>
      <c r="B81" s="173" t="s">
        <v>337</v>
      </c>
      <c r="C81" s="174"/>
      <c r="D81" s="174"/>
      <c r="E81" s="174"/>
      <c r="F81" s="174"/>
      <c r="G81" s="174"/>
      <c r="H81" s="174"/>
      <c r="I81" s="174"/>
      <c r="J81" s="174"/>
      <c r="K81" s="174"/>
      <c r="L81" s="174"/>
      <c r="M81" s="174"/>
    </row>
    <row r="82" spans="1:14" x14ac:dyDescent="0.25">
      <c r="A82" s="8" t="s">
        <v>338</v>
      </c>
      <c r="B82" s="9" t="s">
        <v>339</v>
      </c>
      <c r="C82" s="8"/>
      <c r="D82" s="8"/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</row>
    <row r="83" spans="1:14" x14ac:dyDescent="0.25">
      <c r="A83" s="163" t="s">
        <v>340</v>
      </c>
      <c r="B83" s="163"/>
      <c r="C83" s="163"/>
      <c r="D83" s="163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</row>
    <row r="84" spans="1:14" x14ac:dyDescent="0.25">
      <c r="A84" s="163" t="s">
        <v>341</v>
      </c>
      <c r="B84" s="163"/>
      <c r="C84" s="163"/>
      <c r="D84" s="163"/>
      <c r="E84" s="11">
        <f>E83+E80+E77+E74+E71+E65+E62+E59+E56+E51+E44+E24+E13</f>
        <v>16121254</v>
      </c>
      <c r="F84" s="11">
        <f t="shared" ref="F84:H84" si="32">F83+F80+F77+F74+F71+F65+F62+F59+F56+F51+F44+F24+F13</f>
        <v>1291147</v>
      </c>
      <c r="G84" s="11">
        <f t="shared" si="32"/>
        <v>106147</v>
      </c>
      <c r="H84" s="11">
        <f t="shared" si="32"/>
        <v>17306254</v>
      </c>
      <c r="I84" s="11">
        <f>I83+I80+I77+I74+I71+I65+I62+I59+I56+I51+I44+I24+I13</f>
        <v>11337421</v>
      </c>
      <c r="J84" s="11">
        <f t="shared" ref="J84:K84" si="33">J83+J80+J77+J74+J71+J65+J62+J59+J56+J51+J44+J24+J13</f>
        <v>3573531</v>
      </c>
      <c r="K84" s="11">
        <f t="shared" si="33"/>
        <v>14910952</v>
      </c>
      <c r="L84" s="11">
        <f>L83+L80+L77+L74+L71+L65+L62+L59+L56+L51+L44+L24+L13</f>
        <v>0</v>
      </c>
      <c r="M84" s="11">
        <f t="shared" ref="M84" si="34">M83+M80+M77+M74+M71+M65+M62+M59+M56+M51+M44+M24+M13</f>
        <v>-2395302</v>
      </c>
      <c r="N84" s="18"/>
    </row>
    <row r="85" spans="1:14" x14ac:dyDescent="0.25">
      <c r="A85" s="5" t="s">
        <v>342</v>
      </c>
      <c r="B85" s="170" t="s">
        <v>343</v>
      </c>
      <c r="C85" s="171"/>
      <c r="D85" s="171"/>
      <c r="E85" s="171"/>
      <c r="F85" s="171"/>
      <c r="G85" s="171"/>
      <c r="H85" s="171"/>
      <c r="I85" s="171"/>
      <c r="J85" s="171"/>
      <c r="K85" s="171"/>
      <c r="L85" s="171"/>
      <c r="M85" s="172"/>
    </row>
    <row r="86" spans="1:14" x14ac:dyDescent="0.25">
      <c r="A86" s="6" t="s">
        <v>344</v>
      </c>
      <c r="B86" s="173" t="s">
        <v>345</v>
      </c>
      <c r="C86" s="174"/>
      <c r="D86" s="174"/>
      <c r="E86" s="174"/>
      <c r="F86" s="174"/>
      <c r="G86" s="174"/>
      <c r="H86" s="174"/>
      <c r="I86" s="174"/>
      <c r="J86" s="174"/>
      <c r="K86" s="174"/>
      <c r="L86" s="174"/>
      <c r="M86" s="174"/>
    </row>
    <row r="87" spans="1:14" ht="25.5" x14ac:dyDescent="0.25">
      <c r="A87" s="8" t="s">
        <v>346</v>
      </c>
      <c r="B87" s="9" t="s">
        <v>347</v>
      </c>
      <c r="C87" s="8"/>
      <c r="D87" s="8"/>
      <c r="E87" s="10">
        <v>202000000</v>
      </c>
      <c r="F87" s="10">
        <v>0</v>
      </c>
      <c r="G87" s="10">
        <v>10125000</v>
      </c>
      <c r="H87" s="10">
        <f t="shared" ref="H87:H90" si="35">E87+F87-G87</f>
        <v>191875000</v>
      </c>
      <c r="I87" s="10">
        <f>ROUND(14862491.69,0)</f>
        <v>14862492</v>
      </c>
      <c r="J87" s="10">
        <f t="shared" ref="J87:J90" si="36">K87-I87</f>
        <v>72056937</v>
      </c>
      <c r="K87" s="10">
        <f>ROUND(86919428.79,0)</f>
        <v>86919429</v>
      </c>
      <c r="L87" s="10">
        <v>0</v>
      </c>
      <c r="M87" s="10">
        <f t="shared" ref="M87:M90" si="37">K87-H87</f>
        <v>-104955571</v>
      </c>
    </row>
    <row r="88" spans="1:14" ht="38.25" x14ac:dyDescent="0.25">
      <c r="A88" s="8" t="s">
        <v>348</v>
      </c>
      <c r="B88" s="9" t="s">
        <v>349</v>
      </c>
      <c r="C88" s="8"/>
      <c r="D88" s="8"/>
      <c r="E88" s="10">
        <v>1000000</v>
      </c>
      <c r="F88" s="10">
        <v>0</v>
      </c>
      <c r="G88" s="10">
        <v>0</v>
      </c>
      <c r="H88" s="10">
        <f t="shared" si="35"/>
        <v>1000000</v>
      </c>
      <c r="I88" s="10">
        <v>0</v>
      </c>
      <c r="J88" s="10">
        <v>0</v>
      </c>
      <c r="K88" s="10">
        <v>0</v>
      </c>
      <c r="L88" s="10">
        <v>0</v>
      </c>
      <c r="M88" s="10">
        <f t="shared" si="37"/>
        <v>-1000000</v>
      </c>
    </row>
    <row r="89" spans="1:14" ht="25.5" x14ac:dyDescent="0.25">
      <c r="A89" s="8" t="s">
        <v>350</v>
      </c>
      <c r="B89" s="9" t="s">
        <v>351</v>
      </c>
      <c r="C89" s="8"/>
      <c r="D89" s="8"/>
      <c r="E89" s="10">
        <v>2030000</v>
      </c>
      <c r="F89" s="10">
        <v>0</v>
      </c>
      <c r="G89" s="10">
        <v>290000</v>
      </c>
      <c r="H89" s="10">
        <f t="shared" si="35"/>
        <v>1740000</v>
      </c>
      <c r="I89" s="10">
        <f>ROUND(41705.96,0)</f>
        <v>41706</v>
      </c>
      <c r="J89" s="10">
        <f t="shared" si="36"/>
        <v>9421</v>
      </c>
      <c r="K89" s="10">
        <f>ROUND(51127,0)</f>
        <v>51127</v>
      </c>
      <c r="L89" s="10">
        <v>0</v>
      </c>
      <c r="M89" s="10">
        <f t="shared" si="37"/>
        <v>-1688873</v>
      </c>
    </row>
    <row r="90" spans="1:14" ht="25.5" x14ac:dyDescent="0.25">
      <c r="A90" s="8" t="s">
        <v>352</v>
      </c>
      <c r="B90" s="9" t="s">
        <v>353</v>
      </c>
      <c r="C90" s="8"/>
      <c r="D90" s="8"/>
      <c r="E90" s="10">
        <v>0</v>
      </c>
      <c r="F90" s="10">
        <v>0</v>
      </c>
      <c r="G90" s="10">
        <v>0</v>
      </c>
      <c r="H90" s="10">
        <f t="shared" si="35"/>
        <v>0</v>
      </c>
      <c r="I90" s="10">
        <v>0</v>
      </c>
      <c r="J90" s="10">
        <f t="shared" si="36"/>
        <v>0</v>
      </c>
      <c r="K90" s="10">
        <v>0</v>
      </c>
      <c r="L90" s="10">
        <v>0</v>
      </c>
      <c r="M90" s="10">
        <f t="shared" si="37"/>
        <v>0</v>
      </c>
    </row>
    <row r="91" spans="1:14" x14ac:dyDescent="0.25">
      <c r="A91" s="163" t="s">
        <v>354</v>
      </c>
      <c r="B91" s="163"/>
      <c r="C91" s="163"/>
      <c r="D91" s="163"/>
      <c r="E91" s="11">
        <f>SUM(E87:E90)</f>
        <v>205030000</v>
      </c>
      <c r="F91" s="11">
        <f t="shared" ref="F91:H91" si="38">SUM(F87:F90)</f>
        <v>0</v>
      </c>
      <c r="G91" s="11">
        <f t="shared" si="38"/>
        <v>10415000</v>
      </c>
      <c r="H91" s="11">
        <f t="shared" si="38"/>
        <v>194615000</v>
      </c>
      <c r="I91" s="11">
        <f>SUM(I87:I90)</f>
        <v>14904198</v>
      </c>
      <c r="J91" s="11">
        <f t="shared" ref="J91:K91" si="39">SUM(J87:J90)</f>
        <v>72066358</v>
      </c>
      <c r="K91" s="11">
        <f t="shared" si="39"/>
        <v>86970556</v>
      </c>
      <c r="L91" s="11">
        <f t="shared" ref="L91" si="40">SUM(L87:L90)</f>
        <v>0</v>
      </c>
      <c r="M91" s="11">
        <f t="shared" ref="M91" si="41">SUM(M87:M90)</f>
        <v>-107644444</v>
      </c>
    </row>
    <row r="92" spans="1:14" x14ac:dyDescent="0.25">
      <c r="A92" s="6" t="s">
        <v>355</v>
      </c>
      <c r="B92" s="173" t="s">
        <v>356</v>
      </c>
      <c r="C92" s="174"/>
      <c r="D92" s="174"/>
      <c r="E92" s="174"/>
      <c r="F92" s="174"/>
      <c r="G92" s="174"/>
      <c r="H92" s="174"/>
      <c r="I92" s="174"/>
      <c r="J92" s="174"/>
      <c r="K92" s="174"/>
      <c r="L92" s="174"/>
      <c r="M92" s="174"/>
    </row>
    <row r="93" spans="1:14" x14ac:dyDescent="0.25">
      <c r="A93" s="8" t="s">
        <v>357</v>
      </c>
      <c r="B93" s="9" t="s">
        <v>358</v>
      </c>
      <c r="C93" s="8"/>
      <c r="D93" s="8"/>
      <c r="E93" s="10">
        <v>250000</v>
      </c>
      <c r="F93" s="10">
        <v>0</v>
      </c>
      <c r="G93" s="10">
        <v>0</v>
      </c>
      <c r="H93" s="10">
        <f t="shared" ref="H93:H97" si="42">E93+F93-G93</f>
        <v>250000</v>
      </c>
      <c r="I93" s="10">
        <f>ROUND(103899.42,0)</f>
        <v>103899</v>
      </c>
      <c r="J93" s="10">
        <f t="shared" ref="J93:J97" si="43">K93-I93</f>
        <v>10</v>
      </c>
      <c r="K93" s="10">
        <f>ROUND(103909.4,0)</f>
        <v>103909</v>
      </c>
      <c r="L93" s="10">
        <v>0</v>
      </c>
      <c r="M93" s="10">
        <f t="shared" ref="M93:M97" si="44">K93-H93</f>
        <v>-146091</v>
      </c>
    </row>
    <row r="94" spans="1:14" ht="25.5" x14ac:dyDescent="0.25">
      <c r="A94" s="8" t="s">
        <v>359</v>
      </c>
      <c r="B94" s="9" t="s">
        <v>360</v>
      </c>
      <c r="C94" s="8"/>
      <c r="D94" s="8"/>
      <c r="E94" s="10">
        <v>0</v>
      </c>
      <c r="F94" s="10">
        <v>0</v>
      </c>
      <c r="G94" s="10">
        <v>0</v>
      </c>
      <c r="H94" s="10">
        <f t="shared" si="42"/>
        <v>0</v>
      </c>
      <c r="I94" s="10">
        <v>0</v>
      </c>
      <c r="J94" s="10">
        <f t="shared" si="43"/>
        <v>0</v>
      </c>
      <c r="K94" s="10">
        <v>0</v>
      </c>
      <c r="L94" s="10">
        <v>0</v>
      </c>
      <c r="M94" s="10">
        <f t="shared" si="44"/>
        <v>0</v>
      </c>
    </row>
    <row r="95" spans="1:14" ht="25.5" x14ac:dyDescent="0.25">
      <c r="A95" s="8" t="s">
        <v>361</v>
      </c>
      <c r="B95" s="9" t="s">
        <v>362</v>
      </c>
      <c r="C95" s="8"/>
      <c r="D95" s="8"/>
      <c r="E95" s="10">
        <v>0</v>
      </c>
      <c r="F95" s="10">
        <v>0</v>
      </c>
      <c r="G95" s="10">
        <v>0</v>
      </c>
      <c r="H95" s="10">
        <f t="shared" si="42"/>
        <v>0</v>
      </c>
      <c r="I95" s="10">
        <v>0</v>
      </c>
      <c r="J95" s="10">
        <f t="shared" si="43"/>
        <v>0</v>
      </c>
      <c r="K95" s="10">
        <v>0</v>
      </c>
      <c r="L95" s="10">
        <v>0</v>
      </c>
      <c r="M95" s="10">
        <f t="shared" si="44"/>
        <v>0</v>
      </c>
    </row>
    <row r="96" spans="1:14" x14ac:dyDescent="0.25">
      <c r="A96" s="8" t="s">
        <v>363</v>
      </c>
      <c r="B96" s="9" t="s">
        <v>364</v>
      </c>
      <c r="C96" s="8"/>
      <c r="D96" s="8"/>
      <c r="E96" s="10">
        <v>4000000</v>
      </c>
      <c r="F96" s="10">
        <v>140500</v>
      </c>
      <c r="G96" s="10">
        <v>0</v>
      </c>
      <c r="H96" s="10">
        <f t="shared" si="42"/>
        <v>4140500</v>
      </c>
      <c r="I96" s="10">
        <f>ROUND(1774567.47,0)</f>
        <v>1774567</v>
      </c>
      <c r="J96" s="10">
        <f t="shared" si="43"/>
        <v>1503427</v>
      </c>
      <c r="K96" s="10">
        <f>ROUND(3277993.53,0)</f>
        <v>3277994</v>
      </c>
      <c r="L96" s="10">
        <v>0</v>
      </c>
      <c r="M96" s="10">
        <f t="shared" si="44"/>
        <v>-862506</v>
      </c>
    </row>
    <row r="97" spans="1:13" x14ac:dyDescent="0.25">
      <c r="A97" s="8" t="s">
        <v>365</v>
      </c>
      <c r="B97" s="9" t="s">
        <v>366</v>
      </c>
      <c r="C97" s="8"/>
      <c r="D97" s="8"/>
      <c r="E97" s="10">
        <v>300000</v>
      </c>
      <c r="F97" s="10">
        <v>0</v>
      </c>
      <c r="G97" s="10">
        <v>0</v>
      </c>
      <c r="H97" s="10">
        <f t="shared" si="42"/>
        <v>300000</v>
      </c>
      <c r="I97" s="10">
        <f>ROUND(1149,0)</f>
        <v>1149</v>
      </c>
      <c r="J97" s="10">
        <f t="shared" si="43"/>
        <v>0</v>
      </c>
      <c r="K97" s="10">
        <v>1149</v>
      </c>
      <c r="L97" s="10">
        <v>0</v>
      </c>
      <c r="M97" s="10">
        <f t="shared" si="44"/>
        <v>-298851</v>
      </c>
    </row>
    <row r="98" spans="1:13" x14ac:dyDescent="0.25">
      <c r="A98" s="163" t="s">
        <v>367</v>
      </c>
      <c r="B98" s="163"/>
      <c r="C98" s="163"/>
      <c r="D98" s="163"/>
      <c r="E98" s="11">
        <f>SUM(E93:E97)</f>
        <v>4550000</v>
      </c>
      <c r="F98" s="11">
        <f t="shared" ref="F98:G98" si="45">SUM(F93:F97)</f>
        <v>140500</v>
      </c>
      <c r="G98" s="11">
        <f t="shared" si="45"/>
        <v>0</v>
      </c>
      <c r="H98" s="11">
        <f>SUM(H93:H97)</f>
        <v>4690500</v>
      </c>
      <c r="I98" s="11">
        <f>SUM(I93:I97)</f>
        <v>1879615</v>
      </c>
      <c r="J98" s="11">
        <f t="shared" ref="J98:K98" si="46">SUM(J93:J97)</f>
        <v>1503437</v>
      </c>
      <c r="K98" s="11">
        <f t="shared" si="46"/>
        <v>3383052</v>
      </c>
      <c r="L98" s="11">
        <f t="shared" ref="L98" si="47">SUM(L93:L97)</f>
        <v>0</v>
      </c>
      <c r="M98" s="11">
        <f t="shared" ref="M98" si="48">SUM(M93:M97)</f>
        <v>-1307448</v>
      </c>
    </row>
    <row r="99" spans="1:13" x14ac:dyDescent="0.25">
      <c r="A99" s="6" t="s">
        <v>368</v>
      </c>
      <c r="B99" s="173" t="s">
        <v>369</v>
      </c>
      <c r="C99" s="174"/>
      <c r="D99" s="174"/>
      <c r="E99" s="174"/>
      <c r="F99" s="174"/>
      <c r="G99" s="174"/>
      <c r="H99" s="174"/>
      <c r="I99" s="174"/>
      <c r="J99" s="174"/>
      <c r="K99" s="174"/>
      <c r="L99" s="174"/>
      <c r="M99" s="174"/>
    </row>
    <row r="100" spans="1:13" ht="25.5" x14ac:dyDescent="0.25">
      <c r="A100" s="8" t="s">
        <v>370</v>
      </c>
      <c r="B100" s="9" t="s">
        <v>371</v>
      </c>
      <c r="C100" s="8"/>
      <c r="D100" s="8"/>
      <c r="E100" s="10">
        <v>51000</v>
      </c>
      <c r="F100" s="10">
        <v>0</v>
      </c>
      <c r="G100" s="10">
        <v>3500</v>
      </c>
      <c r="H100" s="10">
        <f t="shared" ref="H100:H101" si="49">E100+F100-G100</f>
        <v>47500</v>
      </c>
      <c r="I100" s="10">
        <v>0</v>
      </c>
      <c r="J100" s="10">
        <f t="shared" ref="J100:J101" si="50">K100-I100</f>
        <v>0</v>
      </c>
      <c r="K100" s="10">
        <v>0</v>
      </c>
      <c r="L100" s="10">
        <v>0</v>
      </c>
      <c r="M100" s="10">
        <f t="shared" ref="M100:M101" si="51">K100-H100</f>
        <v>-47500</v>
      </c>
    </row>
    <row r="101" spans="1:13" ht="25.5" x14ac:dyDescent="0.25">
      <c r="A101" s="8" t="s">
        <v>372</v>
      </c>
      <c r="B101" s="9" t="s">
        <v>373</v>
      </c>
      <c r="C101" s="8"/>
      <c r="D101" s="8"/>
      <c r="E101" s="10">
        <v>420000</v>
      </c>
      <c r="F101" s="10">
        <v>0</v>
      </c>
      <c r="G101" s="10">
        <v>0</v>
      </c>
      <c r="H101" s="10">
        <f t="shared" si="49"/>
        <v>420000</v>
      </c>
      <c r="I101" s="10">
        <f>ROUND(61149.67,0)</f>
        <v>61150</v>
      </c>
      <c r="J101" s="10">
        <f t="shared" si="50"/>
        <v>2</v>
      </c>
      <c r="K101" s="10">
        <f>ROUND(61151.35,0)+1</f>
        <v>61152</v>
      </c>
      <c r="L101" s="10">
        <v>0</v>
      </c>
      <c r="M101" s="10">
        <f t="shared" si="51"/>
        <v>-358848</v>
      </c>
    </row>
    <row r="102" spans="1:13" x14ac:dyDescent="0.25">
      <c r="A102" s="163" t="s">
        <v>374</v>
      </c>
      <c r="B102" s="163"/>
      <c r="C102" s="163"/>
      <c r="D102" s="163"/>
      <c r="E102" s="11">
        <f>SUM(E100:E101)</f>
        <v>471000</v>
      </c>
      <c r="F102" s="11">
        <f t="shared" ref="F102:G102" si="52">SUM(F100:F101)</f>
        <v>0</v>
      </c>
      <c r="G102" s="11">
        <f t="shared" si="52"/>
        <v>3500</v>
      </c>
      <c r="H102" s="11">
        <f>SUM(H100:H101)</f>
        <v>467500</v>
      </c>
      <c r="I102" s="11">
        <f>SUM(I100:I101)</f>
        <v>61150</v>
      </c>
      <c r="J102" s="11">
        <f t="shared" ref="J102:M102" si="53">SUM(J100:J101)</f>
        <v>2</v>
      </c>
      <c r="K102" s="11">
        <f t="shared" si="53"/>
        <v>61152</v>
      </c>
      <c r="L102" s="11">
        <f t="shared" si="53"/>
        <v>0</v>
      </c>
      <c r="M102" s="11">
        <f t="shared" si="53"/>
        <v>-406348</v>
      </c>
    </row>
    <row r="103" spans="1:13" x14ac:dyDescent="0.25">
      <c r="A103" s="6" t="s">
        <v>375</v>
      </c>
      <c r="B103" s="173" t="s">
        <v>376</v>
      </c>
      <c r="C103" s="174"/>
      <c r="D103" s="174"/>
      <c r="E103" s="174"/>
      <c r="F103" s="174"/>
      <c r="G103" s="174"/>
      <c r="H103" s="174"/>
      <c r="I103" s="174"/>
      <c r="J103" s="174"/>
      <c r="K103" s="174"/>
      <c r="L103" s="174"/>
      <c r="M103" s="174"/>
    </row>
    <row r="104" spans="1:13" ht="25.5" x14ac:dyDescent="0.25">
      <c r="A104" s="8" t="s">
        <v>377</v>
      </c>
      <c r="B104" s="9" t="s">
        <v>378</v>
      </c>
      <c r="C104" s="8"/>
      <c r="D104" s="8"/>
      <c r="E104" s="10">
        <v>0</v>
      </c>
      <c r="F104" s="10">
        <v>0</v>
      </c>
      <c r="G104" s="10">
        <v>0</v>
      </c>
      <c r="H104" s="10">
        <f t="shared" ref="H104:H106" si="54">E104+F104-G104</f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</row>
    <row r="105" spans="1:13" x14ac:dyDescent="0.25">
      <c r="A105" s="8" t="s">
        <v>379</v>
      </c>
      <c r="B105" s="9" t="s">
        <v>380</v>
      </c>
      <c r="C105" s="8"/>
      <c r="D105" s="8"/>
      <c r="E105" s="10">
        <v>0</v>
      </c>
      <c r="F105" s="10">
        <v>3500</v>
      </c>
      <c r="G105" s="10">
        <v>0</v>
      </c>
      <c r="H105" s="10">
        <f t="shared" si="54"/>
        <v>3500</v>
      </c>
      <c r="I105" s="10">
        <v>3500</v>
      </c>
      <c r="J105" s="10">
        <v>0</v>
      </c>
      <c r="K105" s="10">
        <v>3500</v>
      </c>
      <c r="L105" s="10">
        <v>0</v>
      </c>
      <c r="M105" s="10">
        <v>0</v>
      </c>
    </row>
    <row r="106" spans="1:13" x14ac:dyDescent="0.25">
      <c r="A106" s="8" t="s">
        <v>381</v>
      </c>
      <c r="B106" s="9" t="s">
        <v>382</v>
      </c>
      <c r="C106" s="8"/>
      <c r="D106" s="8"/>
      <c r="E106" s="10">
        <v>0</v>
      </c>
      <c r="F106" s="10">
        <v>0</v>
      </c>
      <c r="G106" s="10">
        <v>0</v>
      </c>
      <c r="H106" s="10">
        <f t="shared" si="54"/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</row>
    <row r="107" spans="1:13" x14ac:dyDescent="0.25">
      <c r="A107" s="163" t="s">
        <v>383</v>
      </c>
      <c r="B107" s="163"/>
      <c r="C107" s="163"/>
      <c r="D107" s="163"/>
      <c r="E107" s="11">
        <v>0</v>
      </c>
      <c r="F107" s="11">
        <f>SUM(F104:F106)</f>
        <v>3500</v>
      </c>
      <c r="G107" s="11">
        <v>0</v>
      </c>
      <c r="H107" s="11">
        <f>SUM(H104:H106)</f>
        <v>3500</v>
      </c>
      <c r="I107" s="11">
        <f>SUM(I104:I106)</f>
        <v>3500</v>
      </c>
      <c r="J107" s="11">
        <v>0</v>
      </c>
      <c r="K107" s="11">
        <f>SUM(K104:K106)</f>
        <v>3500</v>
      </c>
      <c r="L107" s="11">
        <v>0</v>
      </c>
      <c r="M107" s="11">
        <v>0</v>
      </c>
    </row>
    <row r="108" spans="1:13" x14ac:dyDescent="0.25">
      <c r="A108" s="6" t="s">
        <v>384</v>
      </c>
      <c r="B108" s="173" t="s">
        <v>385</v>
      </c>
      <c r="C108" s="174"/>
      <c r="D108" s="174"/>
      <c r="E108" s="174"/>
      <c r="F108" s="174"/>
      <c r="G108" s="174"/>
      <c r="H108" s="174"/>
      <c r="I108" s="174"/>
      <c r="J108" s="174"/>
      <c r="K108" s="174"/>
      <c r="L108" s="174"/>
      <c r="M108" s="174"/>
    </row>
    <row r="109" spans="1:13" ht="25.5" x14ac:dyDescent="0.25">
      <c r="A109" s="8" t="s">
        <v>386</v>
      </c>
      <c r="B109" s="9" t="s">
        <v>387</v>
      </c>
      <c r="C109" s="8"/>
      <c r="D109" s="8"/>
      <c r="E109" s="10">
        <v>0</v>
      </c>
      <c r="F109" s="10">
        <v>0</v>
      </c>
      <c r="G109" s="10">
        <v>0</v>
      </c>
      <c r="H109" s="10">
        <f t="shared" ref="H109:H111" si="55">E109+F109-G109</f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</row>
    <row r="110" spans="1:13" ht="38.25" x14ac:dyDescent="0.25">
      <c r="A110" s="8" t="s">
        <v>388</v>
      </c>
      <c r="B110" s="9" t="s">
        <v>389</v>
      </c>
      <c r="C110" s="8"/>
      <c r="D110" s="8"/>
      <c r="E110" s="10">
        <v>0</v>
      </c>
      <c r="F110" s="10">
        <v>0</v>
      </c>
      <c r="G110" s="10">
        <v>0</v>
      </c>
      <c r="H110" s="10">
        <f t="shared" si="55"/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</row>
    <row r="111" spans="1:13" x14ac:dyDescent="0.25">
      <c r="A111" s="8" t="s">
        <v>390</v>
      </c>
      <c r="B111" s="9" t="s">
        <v>391</v>
      </c>
      <c r="C111" s="8"/>
      <c r="D111" s="8"/>
      <c r="E111" s="10">
        <v>229000</v>
      </c>
      <c r="F111" s="10">
        <v>40000</v>
      </c>
      <c r="G111" s="10">
        <v>0</v>
      </c>
      <c r="H111" s="10">
        <f t="shared" si="55"/>
        <v>269000</v>
      </c>
      <c r="I111" s="10">
        <f>ROUND(244516.05,0)+1</f>
        <v>244517</v>
      </c>
      <c r="J111" s="10">
        <f>K111-I111</f>
        <v>19928</v>
      </c>
      <c r="K111" s="10">
        <f>ROUND(264444.51,0)</f>
        <v>264445</v>
      </c>
      <c r="L111" s="10">
        <v>0</v>
      </c>
      <c r="M111" s="10">
        <f t="shared" ref="M111" si="56">K111-H111</f>
        <v>-4555</v>
      </c>
    </row>
    <row r="112" spans="1:13" x14ac:dyDescent="0.25">
      <c r="A112" s="163" t="s">
        <v>392</v>
      </c>
      <c r="B112" s="163"/>
      <c r="C112" s="163"/>
      <c r="D112" s="163"/>
      <c r="E112" s="11">
        <f>SUM(E109:E111)</f>
        <v>229000</v>
      </c>
      <c r="F112" s="11">
        <f>F111</f>
        <v>40000</v>
      </c>
      <c r="G112" s="11">
        <v>0</v>
      </c>
      <c r="H112" s="11">
        <f>H111</f>
        <v>269000</v>
      </c>
      <c r="I112" s="11">
        <f>SUM(I109:I111)</f>
        <v>244517</v>
      </c>
      <c r="J112" s="11">
        <f t="shared" ref="J112:M112" si="57">SUM(J109:J111)</f>
        <v>19928</v>
      </c>
      <c r="K112" s="11">
        <f t="shared" si="57"/>
        <v>264445</v>
      </c>
      <c r="L112" s="11">
        <f t="shared" si="57"/>
        <v>0</v>
      </c>
      <c r="M112" s="11">
        <f t="shared" si="57"/>
        <v>-4555</v>
      </c>
    </row>
    <row r="113" spans="1:13" x14ac:dyDescent="0.25">
      <c r="A113" s="6" t="s">
        <v>393</v>
      </c>
      <c r="B113" s="173" t="s">
        <v>394</v>
      </c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</row>
    <row r="114" spans="1:13" x14ac:dyDescent="0.25">
      <c r="A114" s="8" t="s">
        <v>395</v>
      </c>
      <c r="B114" s="9" t="s">
        <v>396</v>
      </c>
      <c r="C114" s="8"/>
      <c r="D114" s="8"/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</row>
    <row r="115" spans="1:13" x14ac:dyDescent="0.25">
      <c r="A115" s="8" t="s">
        <v>397</v>
      </c>
      <c r="B115" s="9" t="s">
        <v>398</v>
      </c>
      <c r="C115" s="8"/>
      <c r="D115" s="8"/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</row>
    <row r="116" spans="1:13" x14ac:dyDescent="0.25">
      <c r="A116" s="163" t="s">
        <v>399</v>
      </c>
      <c r="B116" s="163"/>
      <c r="C116" s="163"/>
      <c r="D116" s="163"/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</row>
    <row r="117" spans="1:13" x14ac:dyDescent="0.25">
      <c r="A117" s="6" t="s">
        <v>400</v>
      </c>
      <c r="B117" s="173" t="s">
        <v>401</v>
      </c>
      <c r="C117" s="174"/>
      <c r="D117" s="174"/>
      <c r="E117" s="174"/>
      <c r="F117" s="174"/>
      <c r="G117" s="174"/>
      <c r="H117" s="174"/>
      <c r="I117" s="174"/>
      <c r="J117" s="174"/>
      <c r="K117" s="174"/>
      <c r="L117" s="174"/>
      <c r="M117" s="174"/>
    </row>
    <row r="118" spans="1:13" x14ac:dyDescent="0.25">
      <c r="A118" s="8" t="s">
        <v>402</v>
      </c>
      <c r="B118" s="9" t="s">
        <v>403</v>
      </c>
      <c r="C118" s="8"/>
      <c r="D118" s="8"/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</row>
    <row r="119" spans="1:13" x14ac:dyDescent="0.25">
      <c r="A119" s="163" t="s">
        <v>404</v>
      </c>
      <c r="B119" s="163"/>
      <c r="C119" s="163"/>
      <c r="D119" s="163"/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</row>
    <row r="120" spans="1:13" x14ac:dyDescent="0.25">
      <c r="A120" s="6" t="s">
        <v>405</v>
      </c>
      <c r="B120" s="173" t="s">
        <v>406</v>
      </c>
      <c r="C120" s="174"/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</row>
    <row r="121" spans="1:13" x14ac:dyDescent="0.25">
      <c r="A121" s="8" t="s">
        <v>407</v>
      </c>
      <c r="B121" s="9" t="s">
        <v>408</v>
      </c>
      <c r="C121" s="8"/>
      <c r="D121" s="8"/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</row>
    <row r="122" spans="1:13" x14ac:dyDescent="0.25">
      <c r="A122" s="163" t="s">
        <v>409</v>
      </c>
      <c r="B122" s="163"/>
      <c r="C122" s="163"/>
      <c r="D122" s="163"/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</row>
    <row r="123" spans="1:13" x14ac:dyDescent="0.25">
      <c r="A123" s="6" t="s">
        <v>410</v>
      </c>
      <c r="B123" s="173" t="s">
        <v>411</v>
      </c>
      <c r="C123" s="174"/>
      <c r="D123" s="174"/>
      <c r="E123" s="174"/>
      <c r="F123" s="174"/>
      <c r="G123" s="174"/>
      <c r="H123" s="174"/>
      <c r="I123" s="174"/>
      <c r="J123" s="174"/>
      <c r="K123" s="174"/>
      <c r="L123" s="174"/>
      <c r="M123" s="174"/>
    </row>
    <row r="124" spans="1:13" x14ac:dyDescent="0.25">
      <c r="A124" s="8" t="s">
        <v>412</v>
      </c>
      <c r="B124" s="9" t="s">
        <v>413</v>
      </c>
      <c r="C124" s="8"/>
      <c r="D124" s="8"/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</row>
    <row r="125" spans="1:13" x14ac:dyDescent="0.25">
      <c r="A125" s="163" t="s">
        <v>414</v>
      </c>
      <c r="B125" s="163"/>
      <c r="C125" s="163"/>
      <c r="D125" s="163"/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</row>
    <row r="126" spans="1:13" x14ac:dyDescent="0.25">
      <c r="A126" s="6" t="s">
        <v>415</v>
      </c>
      <c r="B126" s="173" t="s">
        <v>416</v>
      </c>
      <c r="C126" s="174"/>
      <c r="D126" s="174"/>
      <c r="E126" s="174"/>
      <c r="F126" s="174"/>
      <c r="G126" s="174"/>
      <c r="H126" s="174"/>
      <c r="I126" s="174"/>
      <c r="J126" s="174"/>
      <c r="K126" s="174"/>
      <c r="L126" s="174"/>
      <c r="M126" s="174"/>
    </row>
    <row r="127" spans="1:13" x14ac:dyDescent="0.25">
      <c r="A127" s="8" t="s">
        <v>417</v>
      </c>
      <c r="B127" s="9" t="s">
        <v>418</v>
      </c>
      <c r="C127" s="8"/>
      <c r="D127" s="8"/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</row>
    <row r="128" spans="1:13" x14ac:dyDescent="0.25">
      <c r="A128" s="163" t="s">
        <v>419</v>
      </c>
      <c r="B128" s="163"/>
      <c r="C128" s="163"/>
      <c r="D128" s="163"/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</row>
    <row r="129" spans="1:13" x14ac:dyDescent="0.25">
      <c r="A129" s="163" t="s">
        <v>420</v>
      </c>
      <c r="B129" s="163"/>
      <c r="C129" s="163"/>
      <c r="D129" s="163"/>
      <c r="E129" s="11">
        <f>E128+E125+E122+E119+E116+E112+E107+E102+E98+E91</f>
        <v>210280000</v>
      </c>
      <c r="F129" s="11">
        <f t="shared" ref="F129:H129" si="58">F128+F125+F122+F119+F116+F112+F107+F102+F98+F91</f>
        <v>184000</v>
      </c>
      <c r="G129" s="11">
        <f t="shared" si="58"/>
        <v>10418500</v>
      </c>
      <c r="H129" s="11">
        <f t="shared" si="58"/>
        <v>200045500</v>
      </c>
      <c r="I129" s="11">
        <f>I128+I125+I122+I119+I116+I112+I107+I102+I98+I91</f>
        <v>17092980</v>
      </c>
      <c r="J129" s="11">
        <f t="shared" ref="J129:K129" si="59">J128+J125+J122+J119+J116+J112+J107+J102+J98+J91</f>
        <v>73589725</v>
      </c>
      <c r="K129" s="11">
        <f t="shared" si="59"/>
        <v>90682705</v>
      </c>
      <c r="L129" s="11">
        <f t="shared" ref="L129" si="60">L128+L125+L122+L119+L116+L112+L107+L102+L98+L91</f>
        <v>0</v>
      </c>
      <c r="M129" s="11">
        <f t="shared" ref="M129" si="61">M128+M125+M122+M119+M116+M112+M107+M102+M98+M91</f>
        <v>-109362795</v>
      </c>
    </row>
    <row r="130" spans="1:13" x14ac:dyDescent="0.25">
      <c r="A130" s="5" t="s">
        <v>421</v>
      </c>
      <c r="B130" s="170" t="s">
        <v>422</v>
      </c>
      <c r="C130" s="171"/>
      <c r="D130" s="171"/>
      <c r="E130" s="171"/>
      <c r="F130" s="171"/>
      <c r="G130" s="171"/>
      <c r="H130" s="171"/>
      <c r="I130" s="171"/>
      <c r="J130" s="171"/>
      <c r="K130" s="171"/>
      <c r="L130" s="171"/>
      <c r="M130" s="172"/>
    </row>
    <row r="131" spans="1:13" x14ac:dyDescent="0.25">
      <c r="A131" s="6" t="s">
        <v>423</v>
      </c>
      <c r="B131" s="173" t="s">
        <v>424</v>
      </c>
      <c r="C131" s="174"/>
      <c r="D131" s="174"/>
      <c r="E131" s="174"/>
      <c r="F131" s="174"/>
      <c r="G131" s="174"/>
      <c r="H131" s="174"/>
      <c r="I131" s="174"/>
      <c r="J131" s="174"/>
      <c r="K131" s="174"/>
      <c r="L131" s="174"/>
      <c r="M131" s="174"/>
    </row>
    <row r="132" spans="1:13" x14ac:dyDescent="0.25">
      <c r="A132" s="8" t="s">
        <v>425</v>
      </c>
      <c r="B132" s="9" t="s">
        <v>167</v>
      </c>
      <c r="C132" s="8"/>
      <c r="D132" s="8"/>
      <c r="E132" s="10">
        <v>1700000</v>
      </c>
      <c r="F132" s="10">
        <v>0</v>
      </c>
      <c r="G132" s="10">
        <v>100000</v>
      </c>
      <c r="H132" s="10">
        <f t="shared" ref="H132:H140" si="62">E132+F132-G132</f>
        <v>1600000</v>
      </c>
      <c r="I132" s="10">
        <f>ROUND(1343167.63,0)</f>
        <v>1343168</v>
      </c>
      <c r="J132" s="10">
        <f t="shared" ref="J132:J140" si="63">K132-I132</f>
        <v>196488</v>
      </c>
      <c r="K132" s="10">
        <f>ROUND(1539656.49,0)</f>
        <v>1539656</v>
      </c>
      <c r="L132" s="10">
        <v>0</v>
      </c>
      <c r="M132" s="10">
        <f t="shared" ref="M132:M140" si="64">K132-H132</f>
        <v>-60344</v>
      </c>
    </row>
    <row r="133" spans="1:13" x14ac:dyDescent="0.25">
      <c r="A133" s="8" t="s">
        <v>426</v>
      </c>
      <c r="B133" s="9" t="s">
        <v>169</v>
      </c>
      <c r="C133" s="8"/>
      <c r="D133" s="8"/>
      <c r="E133" s="10">
        <v>450000</v>
      </c>
      <c r="F133" s="10">
        <v>0</v>
      </c>
      <c r="G133" s="10">
        <v>0</v>
      </c>
      <c r="H133" s="10">
        <f t="shared" si="62"/>
        <v>450000</v>
      </c>
      <c r="I133" s="10">
        <f>ROUND(375864.86,0)</f>
        <v>375865</v>
      </c>
      <c r="J133" s="10">
        <f t="shared" si="63"/>
        <v>48646</v>
      </c>
      <c r="K133" s="74">
        <f>ROUND(424511.08,0)</f>
        <v>424511</v>
      </c>
      <c r="L133" s="10">
        <v>0</v>
      </c>
      <c r="M133" s="10">
        <f t="shared" si="64"/>
        <v>-25489</v>
      </c>
    </row>
    <row r="134" spans="1:13" x14ac:dyDescent="0.25">
      <c r="A134" s="8" t="s">
        <v>427</v>
      </c>
      <c r="B134" s="9" t="s">
        <v>171</v>
      </c>
      <c r="C134" s="8"/>
      <c r="D134" s="8"/>
      <c r="E134" s="10">
        <v>5000</v>
      </c>
      <c r="F134" s="10">
        <v>0</v>
      </c>
      <c r="G134" s="10">
        <v>0</v>
      </c>
      <c r="H134" s="10">
        <f t="shared" si="62"/>
        <v>5000</v>
      </c>
      <c r="I134" s="10">
        <f>ROUND(2827.08,0)</f>
        <v>2827</v>
      </c>
      <c r="J134" s="10">
        <f t="shared" si="63"/>
        <v>434</v>
      </c>
      <c r="K134" s="10">
        <f>ROUND(3260.56,0)</f>
        <v>3261</v>
      </c>
      <c r="L134" s="10">
        <v>0</v>
      </c>
      <c r="M134" s="10">
        <f t="shared" si="64"/>
        <v>-1739</v>
      </c>
    </row>
    <row r="135" spans="1:13" x14ac:dyDescent="0.25">
      <c r="A135" s="8" t="s">
        <v>428</v>
      </c>
      <c r="B135" s="9" t="s">
        <v>429</v>
      </c>
      <c r="C135" s="8"/>
      <c r="D135" s="8"/>
      <c r="E135" s="10">
        <v>0</v>
      </c>
      <c r="F135" s="10">
        <v>0</v>
      </c>
      <c r="G135" s="10">
        <v>0</v>
      </c>
      <c r="H135" s="10">
        <f t="shared" si="62"/>
        <v>0</v>
      </c>
      <c r="I135" s="10">
        <v>0</v>
      </c>
      <c r="J135" s="10">
        <f t="shared" si="63"/>
        <v>0</v>
      </c>
      <c r="K135" s="10">
        <v>0</v>
      </c>
      <c r="L135" s="10">
        <v>0</v>
      </c>
      <c r="M135" s="10">
        <f t="shared" si="64"/>
        <v>0</v>
      </c>
    </row>
    <row r="136" spans="1:13" x14ac:dyDescent="0.25">
      <c r="A136" s="8" t="s">
        <v>430</v>
      </c>
      <c r="B136" s="9" t="s">
        <v>431</v>
      </c>
      <c r="C136" s="8"/>
      <c r="D136" s="8"/>
      <c r="E136" s="10">
        <v>0</v>
      </c>
      <c r="F136" s="10">
        <v>0</v>
      </c>
      <c r="G136" s="10">
        <v>0</v>
      </c>
      <c r="H136" s="10">
        <f t="shared" si="62"/>
        <v>0</v>
      </c>
      <c r="I136" s="10">
        <v>0</v>
      </c>
      <c r="J136" s="10">
        <f t="shared" si="63"/>
        <v>0</v>
      </c>
      <c r="K136" s="10">
        <v>0</v>
      </c>
      <c r="L136" s="10">
        <v>0</v>
      </c>
      <c r="M136" s="10">
        <f t="shared" si="64"/>
        <v>0</v>
      </c>
    </row>
    <row r="137" spans="1:13" x14ac:dyDescent="0.25">
      <c r="A137" s="8" t="s">
        <v>432</v>
      </c>
      <c r="B137" s="9" t="s">
        <v>433</v>
      </c>
      <c r="C137" s="8"/>
      <c r="D137" s="8"/>
      <c r="E137" s="10">
        <v>1000000</v>
      </c>
      <c r="F137" s="10">
        <v>200000</v>
      </c>
      <c r="G137" s="10">
        <v>0</v>
      </c>
      <c r="H137" s="10">
        <f t="shared" si="62"/>
        <v>1200000</v>
      </c>
      <c r="I137" s="10">
        <f>ROUND(1167034.1,0)</f>
        <v>1167034</v>
      </c>
      <c r="J137" s="10">
        <f t="shared" si="63"/>
        <v>3739</v>
      </c>
      <c r="K137" s="10">
        <f>ROUND(1170773.39,0)</f>
        <v>1170773</v>
      </c>
      <c r="L137" s="10">
        <v>0</v>
      </c>
      <c r="M137" s="10">
        <f t="shared" si="64"/>
        <v>-29227</v>
      </c>
    </row>
    <row r="138" spans="1:13" x14ac:dyDescent="0.25">
      <c r="A138" s="8" t="s">
        <v>434</v>
      </c>
      <c r="B138" s="9" t="s">
        <v>179</v>
      </c>
      <c r="C138" s="8"/>
      <c r="D138" s="8"/>
      <c r="E138" s="10">
        <v>30000</v>
      </c>
      <c r="F138" s="10">
        <v>0</v>
      </c>
      <c r="G138" s="10">
        <v>0</v>
      </c>
      <c r="H138" s="10">
        <f t="shared" si="62"/>
        <v>30000</v>
      </c>
      <c r="I138" s="10">
        <f>ROUND(15967.35,0)</f>
        <v>15967</v>
      </c>
      <c r="J138" s="10">
        <f t="shared" si="63"/>
        <v>900</v>
      </c>
      <c r="K138" s="10">
        <f>ROUND(16867.35,0)</f>
        <v>16867</v>
      </c>
      <c r="L138" s="10">
        <v>0</v>
      </c>
      <c r="M138" s="10">
        <f t="shared" si="64"/>
        <v>-13133</v>
      </c>
    </row>
    <row r="139" spans="1:13" x14ac:dyDescent="0.25">
      <c r="A139" s="8" t="s">
        <v>435</v>
      </c>
      <c r="B139" s="9" t="s">
        <v>436</v>
      </c>
      <c r="C139" s="8"/>
      <c r="D139" s="8"/>
      <c r="E139" s="10">
        <v>22500</v>
      </c>
      <c r="F139" s="10">
        <v>0</v>
      </c>
      <c r="G139" s="10">
        <v>0</v>
      </c>
      <c r="H139" s="10">
        <f t="shared" si="62"/>
        <v>22500</v>
      </c>
      <c r="I139" s="10">
        <v>20000</v>
      </c>
      <c r="J139" s="10">
        <f t="shared" si="63"/>
        <v>0</v>
      </c>
      <c r="K139" s="10">
        <v>20000</v>
      </c>
      <c r="L139" s="10">
        <v>0</v>
      </c>
      <c r="M139" s="10">
        <f t="shared" si="64"/>
        <v>-2500</v>
      </c>
    </row>
    <row r="140" spans="1:13" x14ac:dyDescent="0.25">
      <c r="A140" s="7" t="s">
        <v>437</v>
      </c>
      <c r="B140" s="201" t="s">
        <v>183</v>
      </c>
      <c r="C140" s="201"/>
      <c r="D140" s="201"/>
      <c r="E140" s="12">
        <v>1000000</v>
      </c>
      <c r="F140" s="12">
        <v>0</v>
      </c>
      <c r="G140" s="12">
        <v>100000</v>
      </c>
      <c r="H140" s="12">
        <f t="shared" si="62"/>
        <v>900000</v>
      </c>
      <c r="I140" s="12">
        <f>ROUND(847094.36,0)</f>
        <v>847094</v>
      </c>
      <c r="J140" s="12">
        <f t="shared" si="63"/>
        <v>35099</v>
      </c>
      <c r="K140" s="12">
        <f>ROUND(882193,0)</f>
        <v>882193</v>
      </c>
      <c r="L140" s="12">
        <v>0</v>
      </c>
      <c r="M140" s="12">
        <f t="shared" si="64"/>
        <v>-17807</v>
      </c>
    </row>
    <row r="141" spans="1:13" x14ac:dyDescent="0.25">
      <c r="A141" s="196" t="s">
        <v>438</v>
      </c>
      <c r="B141" s="202"/>
      <c r="C141" s="202"/>
      <c r="D141" s="202"/>
      <c r="E141" s="13">
        <f>SUM(E132:E140)</f>
        <v>4207500</v>
      </c>
      <c r="F141" s="13">
        <f>SUM(F132:F140)</f>
        <v>200000</v>
      </c>
      <c r="G141" s="13">
        <f t="shared" ref="G141:H141" si="65">SUM(G132:G140)</f>
        <v>200000</v>
      </c>
      <c r="H141" s="13">
        <f t="shared" si="65"/>
        <v>4207500</v>
      </c>
      <c r="I141" s="13">
        <f>SUM(I132:I140)</f>
        <v>3771955</v>
      </c>
      <c r="J141" s="13">
        <f>SUM(J132:J140)</f>
        <v>285306</v>
      </c>
      <c r="K141" s="13">
        <f>SUM(K132:K140)</f>
        <v>4057261</v>
      </c>
      <c r="L141" s="13">
        <f t="shared" ref="L141:M141" si="66">SUM(L132:L140)</f>
        <v>0</v>
      </c>
      <c r="M141" s="13">
        <f t="shared" si="66"/>
        <v>-150239</v>
      </c>
    </row>
    <row r="142" spans="1:13" x14ac:dyDescent="0.25">
      <c r="A142" s="196" t="s">
        <v>439</v>
      </c>
      <c r="B142" s="196"/>
      <c r="C142" s="196"/>
      <c r="D142" s="196"/>
      <c r="E142" s="13">
        <f>E141</f>
        <v>4207500</v>
      </c>
      <c r="F142" s="13">
        <f>F141</f>
        <v>200000</v>
      </c>
      <c r="G142" s="13">
        <f t="shared" ref="G142:H142" si="67">G141</f>
        <v>200000</v>
      </c>
      <c r="H142" s="13">
        <f t="shared" si="67"/>
        <v>4207500</v>
      </c>
      <c r="I142" s="13">
        <f>I141</f>
        <v>3771955</v>
      </c>
      <c r="J142" s="13">
        <f>J141</f>
        <v>285306</v>
      </c>
      <c r="K142" s="13">
        <f>K141</f>
        <v>4057261</v>
      </c>
      <c r="L142" s="13">
        <f t="shared" ref="L142:M142" si="68">L141</f>
        <v>0</v>
      </c>
      <c r="M142" s="13">
        <f t="shared" si="68"/>
        <v>-150239</v>
      </c>
    </row>
    <row r="143" spans="1:13" x14ac:dyDescent="0.25">
      <c r="A143" s="177" t="s">
        <v>186</v>
      </c>
      <c r="B143" s="177"/>
      <c r="C143" s="177"/>
      <c r="D143" s="177"/>
      <c r="E143" s="14">
        <f>E142+E129+E84</f>
        <v>230608754</v>
      </c>
      <c r="F143" s="14">
        <f t="shared" ref="F143:H143" si="69">F142+F129+F84</f>
        <v>1675147</v>
      </c>
      <c r="G143" s="14">
        <f t="shared" si="69"/>
        <v>10724647</v>
      </c>
      <c r="H143" s="14">
        <f t="shared" si="69"/>
        <v>221559254</v>
      </c>
      <c r="I143" s="14">
        <f>I142+I129+I84</f>
        <v>32202356</v>
      </c>
      <c r="J143" s="14">
        <f t="shared" ref="J143:K143" si="70">J142+J129+J84</f>
        <v>77448562</v>
      </c>
      <c r="K143" s="14">
        <f t="shared" si="70"/>
        <v>109650918</v>
      </c>
      <c r="L143" s="14">
        <f t="shared" ref="L143" si="71">L142+L129+L84</f>
        <v>0</v>
      </c>
      <c r="M143" s="14">
        <f t="shared" ref="M143" si="72">M142+M129+M84</f>
        <v>-111908336</v>
      </c>
    </row>
  </sheetData>
  <mergeCells count="67">
    <mergeCell ref="A143:D143"/>
    <mergeCell ref="A129:D129"/>
    <mergeCell ref="B130:M130"/>
    <mergeCell ref="B131:M131"/>
    <mergeCell ref="B140:D140"/>
    <mergeCell ref="A141:D141"/>
    <mergeCell ref="A142:D142"/>
    <mergeCell ref="A128:D128"/>
    <mergeCell ref="B108:M108"/>
    <mergeCell ref="A112:D112"/>
    <mergeCell ref="B113:M113"/>
    <mergeCell ref="A116:D116"/>
    <mergeCell ref="B117:M117"/>
    <mergeCell ref="A119:D119"/>
    <mergeCell ref="B120:M120"/>
    <mergeCell ref="A122:D122"/>
    <mergeCell ref="B123:M123"/>
    <mergeCell ref="A125:D125"/>
    <mergeCell ref="B126:M126"/>
    <mergeCell ref="A107:D107"/>
    <mergeCell ref="B81:M81"/>
    <mergeCell ref="A83:D83"/>
    <mergeCell ref="A84:D84"/>
    <mergeCell ref="B85:M85"/>
    <mergeCell ref="B86:M86"/>
    <mergeCell ref="A91:D91"/>
    <mergeCell ref="B92:M92"/>
    <mergeCell ref="A98:D98"/>
    <mergeCell ref="B99:M99"/>
    <mergeCell ref="A102:D102"/>
    <mergeCell ref="B103:M103"/>
    <mergeCell ref="A80:D80"/>
    <mergeCell ref="B60:M60"/>
    <mergeCell ref="A62:D62"/>
    <mergeCell ref="B63:M63"/>
    <mergeCell ref="A65:D65"/>
    <mergeCell ref="B66:M66"/>
    <mergeCell ref="A71:D71"/>
    <mergeCell ref="B72:M72"/>
    <mergeCell ref="A74:D74"/>
    <mergeCell ref="B75:M75"/>
    <mergeCell ref="A77:D77"/>
    <mergeCell ref="B78:M78"/>
    <mergeCell ref="A59:D59"/>
    <mergeCell ref="B9:M9"/>
    <mergeCell ref="A13:D13"/>
    <mergeCell ref="B14:M14"/>
    <mergeCell ref="A24:D24"/>
    <mergeCell ref="B25:M25"/>
    <mergeCell ref="A44:D44"/>
    <mergeCell ref="B45:M45"/>
    <mergeCell ref="A51:D51"/>
    <mergeCell ref="B52:M52"/>
    <mergeCell ref="A56:D56"/>
    <mergeCell ref="B57:M57"/>
    <mergeCell ref="B8:M8"/>
    <mergeCell ref="A1:M1"/>
    <mergeCell ref="A2:M2"/>
    <mergeCell ref="A3:M3"/>
    <mergeCell ref="A4:M4"/>
    <mergeCell ref="A5:D5"/>
    <mergeCell ref="E5:M5"/>
    <mergeCell ref="A6:D6"/>
    <mergeCell ref="E6:H6"/>
    <mergeCell ref="I6:K6"/>
    <mergeCell ref="L6:M6"/>
    <mergeCell ref="B7:D7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B22D2-553A-40AA-A699-482C07403044}">
  <dimension ref="A1:U144"/>
  <sheetViews>
    <sheetView topLeftCell="A106" workbookViewId="0">
      <selection activeCell="U140" sqref="U140"/>
    </sheetView>
  </sheetViews>
  <sheetFormatPr defaultColWidth="9.140625"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10" width="12.7109375" style="4" customWidth="1"/>
    <col min="11" max="11" width="14.85546875" style="4" customWidth="1"/>
    <col min="12" max="14" width="12.7109375" style="4" customWidth="1"/>
    <col min="15" max="15" width="0" style="4" hidden="1" customWidth="1"/>
    <col min="16" max="16" width="15" style="4" customWidth="1"/>
    <col min="17" max="17" width="0" style="4" hidden="1" customWidth="1"/>
    <col min="18" max="18" width="12.28515625" style="4" hidden="1" customWidth="1"/>
    <col min="19" max="19" width="15.28515625" style="4" bestFit="1" customWidth="1"/>
    <col min="20" max="20" width="9.140625" style="4"/>
    <col min="21" max="21" width="10.42578125" style="4" bestFit="1" customWidth="1"/>
    <col min="22" max="16384" width="9.140625" style="4"/>
  </cols>
  <sheetData>
    <row r="1" spans="1:16" s="1" customFormat="1" ht="18.75" x14ac:dyDescent="0.25">
      <c r="A1" s="154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" s="1" customFormat="1" ht="15" x14ac:dyDescent="0.25">
      <c r="A2" s="156" t="s">
        <v>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</row>
    <row r="3" spans="1:16" s="1" customFormat="1" ht="15" x14ac:dyDescent="0.25">
      <c r="A3" s="157" t="s">
        <v>621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</row>
    <row r="4" spans="1:16" s="1" customFormat="1" ht="15" x14ac:dyDescent="0.25">
      <c r="A4" s="156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</row>
    <row r="5" spans="1:16" s="1" customFormat="1" ht="15" x14ac:dyDescent="0.25">
      <c r="A5" s="159" t="s">
        <v>2</v>
      </c>
      <c r="B5" s="160"/>
      <c r="C5" s="160"/>
      <c r="D5" s="161"/>
      <c r="E5" s="162" t="s">
        <v>440</v>
      </c>
      <c r="F5" s="160"/>
      <c r="G5" s="160"/>
      <c r="H5" s="160"/>
      <c r="I5" s="160"/>
      <c r="J5" s="161"/>
      <c r="K5" s="162" t="s">
        <v>188</v>
      </c>
      <c r="L5" s="160"/>
      <c r="M5" s="160"/>
      <c r="N5" s="161"/>
      <c r="O5" s="182"/>
      <c r="P5" s="183"/>
    </row>
    <row r="6" spans="1:16" s="1" customFormat="1" ht="28.5" customHeight="1" x14ac:dyDescent="0.25">
      <c r="A6" s="164"/>
      <c r="B6" s="162"/>
      <c r="C6" s="162"/>
      <c r="D6" s="162"/>
      <c r="E6" s="164"/>
      <c r="F6" s="160"/>
      <c r="G6" s="160"/>
      <c r="H6" s="160"/>
      <c r="I6" s="165" t="s">
        <v>189</v>
      </c>
      <c r="J6" s="161"/>
      <c r="K6" s="178"/>
      <c r="L6" s="160"/>
      <c r="M6" s="167" t="s">
        <v>190</v>
      </c>
      <c r="N6" s="179"/>
      <c r="O6" s="180"/>
      <c r="P6" s="181"/>
    </row>
    <row r="7" spans="1:16" ht="25.5" x14ac:dyDescent="0.25">
      <c r="A7" s="2" t="s">
        <v>7</v>
      </c>
      <c r="B7" s="2" t="s">
        <v>8</v>
      </c>
      <c r="C7" s="2"/>
      <c r="D7" s="2"/>
      <c r="E7" s="87" t="s">
        <v>191</v>
      </c>
      <c r="F7" s="88" t="s">
        <v>199</v>
      </c>
      <c r="G7" s="87" t="s">
        <v>200</v>
      </c>
      <c r="H7" s="88" t="s">
        <v>192</v>
      </c>
      <c r="I7" s="87" t="s">
        <v>193</v>
      </c>
      <c r="J7" s="87" t="s">
        <v>194</v>
      </c>
      <c r="K7" s="3" t="s">
        <v>12</v>
      </c>
      <c r="L7" s="2" t="s">
        <v>199</v>
      </c>
      <c r="M7" s="3" t="s">
        <v>195</v>
      </c>
      <c r="N7" s="3" t="s">
        <v>196</v>
      </c>
      <c r="O7" s="188" t="s">
        <v>197</v>
      </c>
      <c r="P7" s="189"/>
    </row>
    <row r="8" spans="1:16" x14ac:dyDescent="0.25">
      <c r="A8" s="5" t="s">
        <v>202</v>
      </c>
      <c r="B8" s="190" t="s">
        <v>203</v>
      </c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</row>
    <row r="9" spans="1:16" x14ac:dyDescent="0.25">
      <c r="A9" s="6" t="s">
        <v>204</v>
      </c>
      <c r="B9" s="173" t="s">
        <v>205</v>
      </c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</row>
    <row r="10" spans="1:16" ht="25.5" x14ac:dyDescent="0.25">
      <c r="A10" s="15" t="s">
        <v>206</v>
      </c>
      <c r="B10" s="16" t="s">
        <v>207</v>
      </c>
      <c r="C10" s="15"/>
      <c r="D10" s="15"/>
      <c r="E10" s="17">
        <v>2087</v>
      </c>
      <c r="F10" s="17">
        <f>ROUND(1941.06,0)</f>
        <v>1941</v>
      </c>
      <c r="G10" s="17">
        <f>H10-F10</f>
        <v>0</v>
      </c>
      <c r="H10" s="17">
        <f>E10-J10</f>
        <v>1941</v>
      </c>
      <c r="I10" s="17">
        <v>0</v>
      </c>
      <c r="J10" s="17">
        <v>146</v>
      </c>
      <c r="K10" s="17">
        <f>H10+'Stampa rendiconto PI - USC '!H10</f>
        <v>318592</v>
      </c>
      <c r="L10" s="17">
        <f>F10+'Stampa rendiconto PI - USC '!I10</f>
        <v>289303</v>
      </c>
      <c r="M10" s="17">
        <v>0</v>
      </c>
      <c r="N10" s="17">
        <f>K10-L10</f>
        <v>29289</v>
      </c>
      <c r="O10" s="184">
        <f>G10+'Stampa rendiconto PI - USC '!J10</f>
        <v>164</v>
      </c>
      <c r="P10" s="185"/>
    </row>
    <row r="11" spans="1:16" ht="25.5" x14ac:dyDescent="0.25">
      <c r="A11" s="15" t="s">
        <v>208</v>
      </c>
      <c r="B11" s="16" t="s">
        <v>209</v>
      </c>
      <c r="C11" s="15"/>
      <c r="D11" s="15"/>
      <c r="E11" s="17">
        <v>580</v>
      </c>
      <c r="F11" s="17">
        <v>330</v>
      </c>
      <c r="G11" s="17">
        <f t="shared" ref="G11:G12" si="0">H11-F11</f>
        <v>250</v>
      </c>
      <c r="H11" s="17">
        <f t="shared" ref="H11" si="1">E11</f>
        <v>580</v>
      </c>
      <c r="I11" s="17">
        <v>0</v>
      </c>
      <c r="J11" s="17">
        <v>0</v>
      </c>
      <c r="K11" s="17">
        <f>H11+'Stampa rendiconto PI - USC '!H11</f>
        <v>7780</v>
      </c>
      <c r="L11" s="17">
        <f>F11+'Stampa rendiconto PI - USC '!I11</f>
        <v>330</v>
      </c>
      <c r="M11" s="17">
        <v>0</v>
      </c>
      <c r="N11" s="17">
        <f t="shared" ref="N11:N12" si="2">K11-L11</f>
        <v>7450</v>
      </c>
      <c r="O11" s="184">
        <f>G11+'Stampa rendiconto PI - USC '!J11</f>
        <v>250</v>
      </c>
      <c r="P11" s="185"/>
    </row>
    <row r="12" spans="1:16" ht="25.5" x14ac:dyDescent="0.25">
      <c r="A12" s="15" t="s">
        <v>210</v>
      </c>
      <c r="B12" s="16" t="s">
        <v>211</v>
      </c>
      <c r="C12" s="15"/>
      <c r="D12" s="15"/>
      <c r="E12" s="17">
        <v>7224</v>
      </c>
      <c r="F12" s="17">
        <f>ROUND(7163.39,0)+1</f>
        <v>7164</v>
      </c>
      <c r="G12" s="17">
        <f t="shared" si="0"/>
        <v>0</v>
      </c>
      <c r="H12" s="17">
        <f>E12-J12</f>
        <v>7164</v>
      </c>
      <c r="I12" s="17">
        <v>0</v>
      </c>
      <c r="J12" s="17">
        <v>60</v>
      </c>
      <c r="K12" s="17">
        <f>H12+'Stampa rendiconto PI - USC '!H12</f>
        <v>82864</v>
      </c>
      <c r="L12" s="17">
        <f>F12+'Stampa rendiconto PI - USC '!I12</f>
        <v>80851</v>
      </c>
      <c r="M12" s="17">
        <v>0</v>
      </c>
      <c r="N12" s="17">
        <f t="shared" si="2"/>
        <v>2013</v>
      </c>
      <c r="O12" s="184">
        <f>G12+'Stampa rendiconto PI - USC '!J12</f>
        <v>1498</v>
      </c>
      <c r="P12" s="185"/>
    </row>
    <row r="13" spans="1:16" x14ac:dyDescent="0.25">
      <c r="A13" s="163" t="s">
        <v>212</v>
      </c>
      <c r="B13" s="163"/>
      <c r="C13" s="163"/>
      <c r="D13" s="163"/>
      <c r="E13" s="11">
        <f>SUM(E10:E12)</f>
        <v>9891</v>
      </c>
      <c r="F13" s="11">
        <f>SUM(F10:F12)</f>
        <v>9435</v>
      </c>
      <c r="G13" s="11">
        <f t="shared" ref="G13:J13" si="3">SUM(G10:G12)</f>
        <v>250</v>
      </c>
      <c r="H13" s="11">
        <f t="shared" si="3"/>
        <v>9685</v>
      </c>
      <c r="I13" s="11">
        <f t="shared" si="3"/>
        <v>0</v>
      </c>
      <c r="J13" s="11">
        <f t="shared" si="3"/>
        <v>206</v>
      </c>
      <c r="K13" s="11">
        <f>SUM(K10:K12)</f>
        <v>409236</v>
      </c>
      <c r="L13" s="11">
        <f t="shared" ref="L13:M13" si="4">SUM(L10:L12)</f>
        <v>370484</v>
      </c>
      <c r="M13" s="11">
        <f t="shared" si="4"/>
        <v>0</v>
      </c>
      <c r="N13" s="11">
        <f>SUM(N10:N12)</f>
        <v>38752</v>
      </c>
      <c r="O13" s="186">
        <f>SUM(O10:P12)</f>
        <v>1912</v>
      </c>
      <c r="P13" s="187"/>
    </row>
    <row r="14" spans="1:16" x14ac:dyDescent="0.25">
      <c r="A14" s="6" t="s">
        <v>213</v>
      </c>
      <c r="B14" s="173" t="s">
        <v>214</v>
      </c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</row>
    <row r="15" spans="1:16" x14ac:dyDescent="0.25">
      <c r="A15" s="15" t="s">
        <v>215</v>
      </c>
      <c r="B15" s="16" t="s">
        <v>216</v>
      </c>
      <c r="C15" s="15"/>
      <c r="D15" s="15"/>
      <c r="E15" s="17">
        <v>0</v>
      </c>
      <c r="F15" s="17">
        <v>0</v>
      </c>
      <c r="G15" s="17">
        <f t="shared" ref="G15:G23" si="5">H15-F15</f>
        <v>0</v>
      </c>
      <c r="H15" s="17">
        <f t="shared" ref="H15:H23" si="6">E15</f>
        <v>0</v>
      </c>
      <c r="I15" s="17">
        <v>0</v>
      </c>
      <c r="J15" s="17">
        <v>0</v>
      </c>
      <c r="K15" s="17">
        <f>H15+'Stampa rendiconto PI - USC '!H15</f>
        <v>224000</v>
      </c>
      <c r="L15" s="17">
        <f>F15+'Stampa rendiconto PI - USC '!I15</f>
        <v>173222</v>
      </c>
      <c r="M15" s="17">
        <v>0</v>
      </c>
      <c r="N15" s="17">
        <f t="shared" ref="N15:N23" si="7">K15-L15</f>
        <v>50778</v>
      </c>
      <c r="O15" s="184">
        <f>G15+'Stampa rendiconto PI - USC '!J15</f>
        <v>0</v>
      </c>
      <c r="P15" s="185"/>
    </row>
    <row r="16" spans="1:16" x14ac:dyDescent="0.25">
      <c r="A16" s="15" t="s">
        <v>217</v>
      </c>
      <c r="B16" s="16" t="s">
        <v>218</v>
      </c>
      <c r="C16" s="15"/>
      <c r="D16" s="15"/>
      <c r="E16" s="17">
        <v>38789</v>
      </c>
      <c r="F16" s="17">
        <f>E16</f>
        <v>38789</v>
      </c>
      <c r="G16" s="17">
        <f t="shared" si="5"/>
        <v>0</v>
      </c>
      <c r="H16" s="17">
        <f t="shared" si="6"/>
        <v>38789</v>
      </c>
      <c r="I16" s="17">
        <v>0</v>
      </c>
      <c r="J16" s="17">
        <v>0</v>
      </c>
      <c r="K16" s="17">
        <f>H16+'Stampa rendiconto PI - USC '!H16</f>
        <v>2704855</v>
      </c>
      <c r="L16" s="17">
        <f>F16+'Stampa rendiconto PI - USC '!I16</f>
        <v>2609067</v>
      </c>
      <c r="M16" s="17">
        <v>0</v>
      </c>
      <c r="N16" s="17">
        <f t="shared" si="7"/>
        <v>95788</v>
      </c>
      <c r="O16" s="192">
        <f>G16+'Stampa rendiconto PI - USC '!J16</f>
        <v>33270</v>
      </c>
      <c r="P16" s="193"/>
    </row>
    <row r="17" spans="1:16" x14ac:dyDescent="0.25">
      <c r="A17" s="15" t="s">
        <v>219</v>
      </c>
      <c r="B17" s="16" t="s">
        <v>220</v>
      </c>
      <c r="C17" s="15"/>
      <c r="D17" s="15"/>
      <c r="E17" s="17">
        <v>0</v>
      </c>
      <c r="F17" s="17">
        <v>0</v>
      </c>
      <c r="G17" s="17">
        <f t="shared" si="5"/>
        <v>0</v>
      </c>
      <c r="H17" s="17">
        <f t="shared" si="6"/>
        <v>0</v>
      </c>
      <c r="I17" s="17">
        <v>0</v>
      </c>
      <c r="J17" s="17">
        <v>0</v>
      </c>
      <c r="K17" s="17">
        <f>H17+'Stampa rendiconto PI - USC '!H17</f>
        <v>50000</v>
      </c>
      <c r="L17" s="17">
        <f>F17+'Stampa rendiconto PI - USC '!I17</f>
        <v>36624</v>
      </c>
      <c r="M17" s="17">
        <v>0</v>
      </c>
      <c r="N17" s="17">
        <f t="shared" si="7"/>
        <v>13376</v>
      </c>
      <c r="O17" s="192">
        <f>G17+'Stampa rendiconto PI - USC '!J17</f>
        <v>0</v>
      </c>
      <c r="P17" s="193"/>
    </row>
    <row r="18" spans="1:16" x14ac:dyDescent="0.25">
      <c r="A18" s="15" t="s">
        <v>221</v>
      </c>
      <c r="B18" s="16" t="s">
        <v>222</v>
      </c>
      <c r="C18" s="15"/>
      <c r="D18" s="15"/>
      <c r="E18" s="17">
        <v>1929</v>
      </c>
      <c r="F18" s="17">
        <f>ROUND(1919.06,0)</f>
        <v>1919</v>
      </c>
      <c r="G18" s="17">
        <f t="shared" si="5"/>
        <v>0</v>
      </c>
      <c r="H18" s="17">
        <f>E18-J18</f>
        <v>1919</v>
      </c>
      <c r="I18" s="17">
        <v>0</v>
      </c>
      <c r="J18" s="17">
        <v>10</v>
      </c>
      <c r="K18" s="17">
        <f>H18+'Stampa rendiconto PI - USC '!H18</f>
        <v>101919</v>
      </c>
      <c r="L18" s="17">
        <f>F18+'Stampa rendiconto PI - USC '!I18</f>
        <v>98063</v>
      </c>
      <c r="M18" s="17">
        <v>0</v>
      </c>
      <c r="N18" s="17">
        <f t="shared" si="7"/>
        <v>3856</v>
      </c>
      <c r="O18" s="192">
        <f>G18+'Stampa rendiconto PI - USC '!J18</f>
        <v>480</v>
      </c>
      <c r="P18" s="193"/>
    </row>
    <row r="19" spans="1:16" x14ac:dyDescent="0.25">
      <c r="A19" s="15" t="s">
        <v>223</v>
      </c>
      <c r="B19" s="16" t="s">
        <v>224</v>
      </c>
      <c r="C19" s="15"/>
      <c r="D19" s="15"/>
      <c r="E19" s="17">
        <v>0</v>
      </c>
      <c r="F19" s="17">
        <v>0</v>
      </c>
      <c r="G19" s="17">
        <f t="shared" si="5"/>
        <v>0</v>
      </c>
      <c r="H19" s="17">
        <f t="shared" si="6"/>
        <v>0</v>
      </c>
      <c r="I19" s="17">
        <v>0</v>
      </c>
      <c r="J19" s="17">
        <v>0</v>
      </c>
      <c r="K19" s="17">
        <f>H19+'Stampa rendiconto PI - USC '!H19</f>
        <v>6000</v>
      </c>
      <c r="L19" s="17">
        <f>F19+'Stampa rendiconto PI - USC '!I19</f>
        <v>0</v>
      </c>
      <c r="M19" s="17">
        <v>0</v>
      </c>
      <c r="N19" s="17">
        <f t="shared" si="7"/>
        <v>6000</v>
      </c>
      <c r="O19" s="192">
        <f>G19+'Stampa rendiconto PI - USC '!J19</f>
        <v>0</v>
      </c>
      <c r="P19" s="193"/>
    </row>
    <row r="20" spans="1:16" ht="25.5" x14ac:dyDescent="0.25">
      <c r="A20" s="15" t="s">
        <v>225</v>
      </c>
      <c r="B20" s="16" t="s">
        <v>226</v>
      </c>
      <c r="C20" s="15"/>
      <c r="D20" s="15"/>
      <c r="E20" s="17">
        <v>23074</v>
      </c>
      <c r="F20" s="17">
        <f>ROUND(22594.2,0)</f>
        <v>22594</v>
      </c>
      <c r="G20" s="17">
        <f t="shared" si="5"/>
        <v>0</v>
      </c>
      <c r="H20" s="17">
        <f>E20-J20</f>
        <v>22594</v>
      </c>
      <c r="I20" s="17">
        <v>0</v>
      </c>
      <c r="J20" s="17">
        <v>480</v>
      </c>
      <c r="K20" s="17">
        <f>H20+'Stampa rendiconto PI - USC '!H20</f>
        <v>75594</v>
      </c>
      <c r="L20" s="17">
        <f>F20+'Stampa rendiconto PI - USC '!I20</f>
        <v>66822</v>
      </c>
      <c r="M20" s="17">
        <v>0</v>
      </c>
      <c r="N20" s="17">
        <f t="shared" si="7"/>
        <v>8772</v>
      </c>
      <c r="O20" s="192">
        <f>G20+'Stampa rendiconto PI - USC '!J20</f>
        <v>7861</v>
      </c>
      <c r="P20" s="193"/>
    </row>
    <row r="21" spans="1:16" ht="25.5" x14ac:dyDescent="0.25">
      <c r="A21" s="15" t="s">
        <v>227</v>
      </c>
      <c r="B21" s="16" t="s">
        <v>228</v>
      </c>
      <c r="C21" s="15"/>
      <c r="D21" s="15"/>
      <c r="E21" s="17">
        <v>243866</v>
      </c>
      <c r="F21" s="17">
        <f>ROUND(140722.35,0)</f>
        <v>140722</v>
      </c>
      <c r="G21" s="17">
        <f t="shared" si="5"/>
        <v>103001</v>
      </c>
      <c r="H21" s="17">
        <f>E21-J21</f>
        <v>243723</v>
      </c>
      <c r="I21" s="17">
        <v>0</v>
      </c>
      <c r="J21" s="17">
        <v>143</v>
      </c>
      <c r="K21" s="17">
        <f>H21+'Stampa rendiconto PI - USC '!H21</f>
        <v>1623568</v>
      </c>
      <c r="L21" s="17">
        <f>F21+'Stampa rendiconto PI - USC '!I21</f>
        <v>1219721</v>
      </c>
      <c r="M21" s="17">
        <v>0</v>
      </c>
      <c r="N21" s="17">
        <f t="shared" si="7"/>
        <v>403847</v>
      </c>
      <c r="O21" s="192">
        <f>G21+'Stampa rendiconto PI - USC '!J21</f>
        <v>370966</v>
      </c>
      <c r="P21" s="193"/>
    </row>
    <row r="22" spans="1:16" x14ac:dyDescent="0.25">
      <c r="A22" s="15" t="s">
        <v>229</v>
      </c>
      <c r="B22" s="16" t="s">
        <v>230</v>
      </c>
      <c r="C22" s="15"/>
      <c r="D22" s="15"/>
      <c r="E22" s="17">
        <v>0</v>
      </c>
      <c r="F22" s="17">
        <v>0</v>
      </c>
      <c r="G22" s="17">
        <f t="shared" si="5"/>
        <v>0</v>
      </c>
      <c r="H22" s="17">
        <f t="shared" si="6"/>
        <v>0</v>
      </c>
      <c r="I22" s="17">
        <v>0</v>
      </c>
      <c r="J22" s="17">
        <v>0</v>
      </c>
      <c r="K22" s="17">
        <f>H22+'Stampa rendiconto PI - USC '!H22</f>
        <v>2106781</v>
      </c>
      <c r="L22" s="17">
        <f>F22+'Stampa rendiconto PI - USC '!I22</f>
        <v>1843766</v>
      </c>
      <c r="M22" s="17">
        <v>0</v>
      </c>
      <c r="N22" s="17">
        <f t="shared" si="7"/>
        <v>263015</v>
      </c>
      <c r="O22" s="192">
        <f>G22+'Stampa rendiconto PI - USC '!J22</f>
        <v>66746</v>
      </c>
      <c r="P22" s="193"/>
    </row>
    <row r="23" spans="1:16" x14ac:dyDescent="0.25">
      <c r="A23" s="15" t="s">
        <v>231</v>
      </c>
      <c r="B23" s="16" t="s">
        <v>232</v>
      </c>
      <c r="C23" s="15"/>
      <c r="D23" s="15"/>
      <c r="E23" s="17">
        <v>0</v>
      </c>
      <c r="F23" s="17">
        <v>0</v>
      </c>
      <c r="G23" s="17">
        <f t="shared" si="5"/>
        <v>0</v>
      </c>
      <c r="H23" s="17">
        <f t="shared" si="6"/>
        <v>0</v>
      </c>
      <c r="I23" s="17">
        <v>0</v>
      </c>
      <c r="J23" s="17">
        <v>0</v>
      </c>
      <c r="K23" s="17">
        <f>H23+'Stampa rendiconto PI - USC '!H23</f>
        <v>46000</v>
      </c>
      <c r="L23" s="17">
        <f>F23+'Stampa rendiconto PI - USC '!I23</f>
        <v>0</v>
      </c>
      <c r="M23" s="17">
        <v>0</v>
      </c>
      <c r="N23" s="17">
        <f t="shared" si="7"/>
        <v>46000</v>
      </c>
      <c r="O23" s="192">
        <f>G23+'Stampa rendiconto PI - USC '!J23</f>
        <v>0</v>
      </c>
      <c r="P23" s="193"/>
    </row>
    <row r="24" spans="1:16" x14ac:dyDescent="0.25">
      <c r="A24" s="163" t="s">
        <v>233</v>
      </c>
      <c r="B24" s="163"/>
      <c r="C24" s="163"/>
      <c r="D24" s="163"/>
      <c r="E24" s="11">
        <f>SUM(E15:E23)</f>
        <v>307658</v>
      </c>
      <c r="F24" s="11">
        <f>SUM(F15:F23)</f>
        <v>204024</v>
      </c>
      <c r="G24" s="11">
        <f>SUM(G15:G23)</f>
        <v>103001</v>
      </c>
      <c r="H24" s="11">
        <f t="shared" ref="H24:J24" si="8">SUM(H15:H23)</f>
        <v>307025</v>
      </c>
      <c r="I24" s="11">
        <f t="shared" si="8"/>
        <v>0</v>
      </c>
      <c r="J24" s="11">
        <f t="shared" si="8"/>
        <v>633</v>
      </c>
      <c r="K24" s="11">
        <f>SUM(K15:K23)</f>
        <v>6938717</v>
      </c>
      <c r="L24" s="11">
        <f t="shared" ref="L24:M24" si="9">SUM(L15:L23)</f>
        <v>6047285</v>
      </c>
      <c r="M24" s="11">
        <f t="shared" si="9"/>
        <v>0</v>
      </c>
      <c r="N24" s="11">
        <f>SUM(N15:N23)</f>
        <v>891432</v>
      </c>
      <c r="O24" s="186">
        <f>SUM(O15:P23)</f>
        <v>479323</v>
      </c>
      <c r="P24" s="187"/>
    </row>
    <row r="25" spans="1:16" x14ac:dyDescent="0.25">
      <c r="A25" s="6" t="s">
        <v>234</v>
      </c>
      <c r="B25" s="173" t="s">
        <v>235</v>
      </c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</row>
    <row r="26" spans="1:16" ht="25.5" x14ac:dyDescent="0.25">
      <c r="A26" s="15" t="s">
        <v>236</v>
      </c>
      <c r="B26" s="16" t="s">
        <v>237</v>
      </c>
      <c r="C26" s="15"/>
      <c r="D26" s="15"/>
      <c r="E26" s="17">
        <v>11078</v>
      </c>
      <c r="F26" s="17">
        <f>ROUND(3452.4,0)</f>
        <v>3452</v>
      </c>
      <c r="G26" s="17">
        <f t="shared" ref="G26:G43" si="10">H26-F26</f>
        <v>7626</v>
      </c>
      <c r="H26" s="17">
        <f>E26-J26</f>
        <v>11078</v>
      </c>
      <c r="I26" s="17">
        <v>0</v>
      </c>
      <c r="J26" s="17">
        <v>0</v>
      </c>
      <c r="K26" s="17">
        <f>H26+'Stampa rendiconto PI - USC '!H26</f>
        <v>15893</v>
      </c>
      <c r="L26" s="17">
        <f>F26+'Stampa rendiconto PI - USC '!I26</f>
        <v>7747</v>
      </c>
      <c r="M26" s="17">
        <v>0</v>
      </c>
      <c r="N26" s="17">
        <f t="shared" ref="N26:N43" si="11">K26-L26</f>
        <v>8146</v>
      </c>
      <c r="O26" s="184">
        <f>G26+'Stampa rendiconto PI - USC '!J26</f>
        <v>8146</v>
      </c>
      <c r="P26" s="185"/>
    </row>
    <row r="27" spans="1:16" x14ac:dyDescent="0.25">
      <c r="A27" s="15" t="s">
        <v>238</v>
      </c>
      <c r="B27" s="16" t="s">
        <v>239</v>
      </c>
      <c r="C27" s="15"/>
      <c r="D27" s="15"/>
      <c r="E27" s="17">
        <v>0</v>
      </c>
      <c r="F27" s="17">
        <v>0</v>
      </c>
      <c r="G27" s="17">
        <f t="shared" si="10"/>
        <v>0</v>
      </c>
      <c r="H27" s="17">
        <f t="shared" ref="H27:H43" si="12">E27-J27</f>
        <v>0</v>
      </c>
      <c r="I27" s="17">
        <v>0</v>
      </c>
      <c r="J27" s="17">
        <v>0</v>
      </c>
      <c r="K27" s="17">
        <f>H27+'Stampa rendiconto PI - USC '!H27</f>
        <v>0</v>
      </c>
      <c r="L27" s="17">
        <f>F27+'Stampa rendiconto PI - USC '!I27</f>
        <v>0</v>
      </c>
      <c r="M27" s="17">
        <v>0</v>
      </c>
      <c r="N27" s="17">
        <f t="shared" si="11"/>
        <v>0</v>
      </c>
      <c r="O27" s="192">
        <f>G27+'Stampa rendiconto PI - USC '!J27</f>
        <v>0</v>
      </c>
      <c r="P27" s="193"/>
    </row>
    <row r="28" spans="1:16" ht="51" x14ac:dyDescent="0.25">
      <c r="A28" s="15" t="s">
        <v>240</v>
      </c>
      <c r="B28" s="16" t="s">
        <v>241</v>
      </c>
      <c r="C28" s="15"/>
      <c r="D28" s="15"/>
      <c r="E28" s="17">
        <v>43164</v>
      </c>
      <c r="F28" s="17">
        <f>ROUND(35857.17,0)</f>
        <v>35857</v>
      </c>
      <c r="G28" s="17">
        <f t="shared" si="10"/>
        <v>7307</v>
      </c>
      <c r="H28" s="17">
        <f t="shared" si="12"/>
        <v>43164</v>
      </c>
      <c r="I28" s="17">
        <v>0</v>
      </c>
      <c r="J28" s="17">
        <v>0</v>
      </c>
      <c r="K28" s="17">
        <f>H28+'Stampa rendiconto PI - USC '!H28</f>
        <v>283164</v>
      </c>
      <c r="L28" s="17">
        <f>F28+'Stampa rendiconto PI - USC '!I28</f>
        <v>138651</v>
      </c>
      <c r="M28" s="17">
        <v>0</v>
      </c>
      <c r="N28" s="17">
        <f t="shared" si="11"/>
        <v>144513</v>
      </c>
      <c r="O28" s="192">
        <f>G28+'Stampa rendiconto PI - USC '!J28</f>
        <v>37336</v>
      </c>
      <c r="P28" s="193"/>
    </row>
    <row r="29" spans="1:16" x14ac:dyDescent="0.25">
      <c r="A29" s="15" t="s">
        <v>242</v>
      </c>
      <c r="B29" s="16" t="s">
        <v>243</v>
      </c>
      <c r="C29" s="15"/>
      <c r="D29" s="15"/>
      <c r="E29" s="17">
        <v>2873</v>
      </c>
      <c r="F29" s="17">
        <f>ROUND(2466.97,0)</f>
        <v>2467</v>
      </c>
      <c r="G29" s="17">
        <f t="shared" si="10"/>
        <v>163</v>
      </c>
      <c r="H29" s="17">
        <f t="shared" si="12"/>
        <v>2630</v>
      </c>
      <c r="I29" s="17">
        <v>0</v>
      </c>
      <c r="J29" s="17">
        <v>243</v>
      </c>
      <c r="K29" s="17">
        <f>H29+'Stampa rendiconto PI - USC '!H29</f>
        <v>52630</v>
      </c>
      <c r="L29" s="17">
        <f>F29+'Stampa rendiconto PI - USC '!I29</f>
        <v>42542</v>
      </c>
      <c r="M29" s="17">
        <v>0</v>
      </c>
      <c r="N29" s="17">
        <f t="shared" si="11"/>
        <v>10088</v>
      </c>
      <c r="O29" s="192">
        <f>G29+'Stampa rendiconto PI - USC '!J29</f>
        <v>2880</v>
      </c>
      <c r="P29" s="193"/>
    </row>
    <row r="30" spans="1:16" ht="25.5" x14ac:dyDescent="0.25">
      <c r="A30" s="15" t="s">
        <v>244</v>
      </c>
      <c r="B30" s="16" t="s">
        <v>245</v>
      </c>
      <c r="C30" s="15"/>
      <c r="D30" s="15"/>
      <c r="E30" s="17">
        <v>0</v>
      </c>
      <c r="F30" s="17">
        <v>0</v>
      </c>
      <c r="G30" s="17">
        <f t="shared" si="10"/>
        <v>0</v>
      </c>
      <c r="H30" s="17">
        <f t="shared" si="12"/>
        <v>0</v>
      </c>
      <c r="I30" s="17">
        <v>0</v>
      </c>
      <c r="J30" s="17">
        <v>0</v>
      </c>
      <c r="K30" s="17">
        <f>H30+'Stampa rendiconto PI - USC '!H30</f>
        <v>0</v>
      </c>
      <c r="L30" s="17">
        <f>F30+'Stampa rendiconto PI - USC '!I30</f>
        <v>0</v>
      </c>
      <c r="M30" s="17">
        <v>0</v>
      </c>
      <c r="N30" s="17">
        <f t="shared" si="11"/>
        <v>0</v>
      </c>
      <c r="O30" s="192">
        <f>G30+'Stampa rendiconto PI - USC '!J30</f>
        <v>0</v>
      </c>
      <c r="P30" s="193"/>
    </row>
    <row r="31" spans="1:16" x14ac:dyDescent="0.25">
      <c r="A31" s="15" t="s">
        <v>246</v>
      </c>
      <c r="B31" s="16" t="s">
        <v>247</v>
      </c>
      <c r="C31" s="15"/>
      <c r="D31" s="15"/>
      <c r="E31" s="17">
        <v>40205</v>
      </c>
      <c r="F31" s="17">
        <f>ROUND(26109.93,0)</f>
        <v>26110</v>
      </c>
      <c r="G31" s="17">
        <f t="shared" si="10"/>
        <v>14095</v>
      </c>
      <c r="H31" s="17">
        <f t="shared" si="12"/>
        <v>40205</v>
      </c>
      <c r="I31" s="17">
        <v>0</v>
      </c>
      <c r="J31" s="17">
        <v>0</v>
      </c>
      <c r="K31" s="17">
        <f>H31+'Stampa rendiconto PI - USC '!H31</f>
        <v>176205</v>
      </c>
      <c r="L31" s="17">
        <f>F31+'Stampa rendiconto PI - USC '!I31</f>
        <v>91540</v>
      </c>
      <c r="M31" s="17">
        <v>0</v>
      </c>
      <c r="N31" s="17">
        <f t="shared" si="11"/>
        <v>84665</v>
      </c>
      <c r="O31" s="192">
        <f>G31+'Stampa rendiconto PI - USC '!J31</f>
        <v>77622</v>
      </c>
      <c r="P31" s="193"/>
    </row>
    <row r="32" spans="1:16" x14ac:dyDescent="0.25">
      <c r="A32" s="15" t="s">
        <v>248</v>
      </c>
      <c r="B32" s="16" t="s">
        <v>249</v>
      </c>
      <c r="C32" s="15"/>
      <c r="D32" s="15"/>
      <c r="E32" s="17">
        <v>1157</v>
      </c>
      <c r="F32" s="17">
        <f>ROUND(1157.79,0)</f>
        <v>1158</v>
      </c>
      <c r="G32" s="17">
        <f t="shared" si="10"/>
        <v>-1</v>
      </c>
      <c r="H32" s="17">
        <f t="shared" si="12"/>
        <v>1157</v>
      </c>
      <c r="I32" s="17">
        <v>0</v>
      </c>
      <c r="J32" s="17">
        <v>0</v>
      </c>
      <c r="K32" s="17">
        <f>H32+'Stampa rendiconto PI - USC '!H32</f>
        <v>56157</v>
      </c>
      <c r="L32" s="17">
        <f>F32+'Stampa rendiconto PI - USC '!I32</f>
        <v>44352</v>
      </c>
      <c r="M32" s="17">
        <v>0</v>
      </c>
      <c r="N32" s="17">
        <f t="shared" si="11"/>
        <v>11805</v>
      </c>
      <c r="O32" s="192">
        <f>G32+'Stampa rendiconto PI - USC '!J32</f>
        <v>9152</v>
      </c>
      <c r="P32" s="193"/>
    </row>
    <row r="33" spans="1:16" x14ac:dyDescent="0.25">
      <c r="A33" s="15" t="s">
        <v>250</v>
      </c>
      <c r="B33" s="16" t="s">
        <v>251</v>
      </c>
      <c r="C33" s="15"/>
      <c r="D33" s="15"/>
      <c r="E33" s="17">
        <v>177</v>
      </c>
      <c r="F33" s="17">
        <f>ROUND(176.8,0)</f>
        <v>177</v>
      </c>
      <c r="G33" s="17">
        <f t="shared" si="10"/>
        <v>0</v>
      </c>
      <c r="H33" s="17">
        <f t="shared" si="12"/>
        <v>177</v>
      </c>
      <c r="I33" s="17">
        <v>0</v>
      </c>
      <c r="J33" s="17">
        <v>0</v>
      </c>
      <c r="K33" s="17">
        <f>H33+'Stampa rendiconto PI - USC '!H33</f>
        <v>20177</v>
      </c>
      <c r="L33" s="17">
        <f>F33+'Stampa rendiconto PI - USC '!I33</f>
        <v>18296</v>
      </c>
      <c r="M33" s="17">
        <v>0</v>
      </c>
      <c r="N33" s="17">
        <f t="shared" si="11"/>
        <v>1881</v>
      </c>
      <c r="O33" s="192">
        <f>G33+'Stampa rendiconto PI - USC '!J33</f>
        <v>177</v>
      </c>
      <c r="P33" s="193"/>
    </row>
    <row r="34" spans="1:16" x14ac:dyDescent="0.25">
      <c r="A34" s="15" t="s">
        <v>252</v>
      </c>
      <c r="B34" s="16" t="s">
        <v>253</v>
      </c>
      <c r="C34" s="15"/>
      <c r="D34" s="15"/>
      <c r="E34" s="17">
        <v>1152</v>
      </c>
      <c r="F34" s="17">
        <f>ROUND(831.82,0)</f>
        <v>832</v>
      </c>
      <c r="G34" s="17">
        <f t="shared" si="10"/>
        <v>320</v>
      </c>
      <c r="H34" s="17">
        <f t="shared" si="12"/>
        <v>1152</v>
      </c>
      <c r="I34" s="17">
        <v>0</v>
      </c>
      <c r="J34" s="17">
        <v>0</v>
      </c>
      <c r="K34" s="17">
        <f>H34+'Stampa rendiconto PI - USC '!H34</f>
        <v>6152</v>
      </c>
      <c r="L34" s="17">
        <f>F34+'Stampa rendiconto PI - USC '!I34</f>
        <v>957</v>
      </c>
      <c r="M34" s="17">
        <v>0</v>
      </c>
      <c r="N34" s="17">
        <f t="shared" si="11"/>
        <v>5195</v>
      </c>
      <c r="O34" s="192">
        <f>G34+'Stampa rendiconto PI - USC '!J34</f>
        <v>320</v>
      </c>
      <c r="P34" s="193"/>
    </row>
    <row r="35" spans="1:16" x14ac:dyDescent="0.25">
      <c r="A35" s="15" t="s">
        <v>254</v>
      </c>
      <c r="B35" s="16" t="s">
        <v>255</v>
      </c>
      <c r="C35" s="15"/>
      <c r="D35" s="15"/>
      <c r="E35" s="17">
        <v>56107</v>
      </c>
      <c r="F35" s="17">
        <f>ROUND(48313.52,0)</f>
        <v>48314</v>
      </c>
      <c r="G35" s="17">
        <f t="shared" si="10"/>
        <v>7102</v>
      </c>
      <c r="H35" s="17">
        <f t="shared" si="12"/>
        <v>55416</v>
      </c>
      <c r="I35" s="17">
        <v>0</v>
      </c>
      <c r="J35" s="17">
        <v>691</v>
      </c>
      <c r="K35" s="17">
        <f>H35+'Stampa rendiconto PI - USC '!H35</f>
        <v>181769</v>
      </c>
      <c r="L35" s="17">
        <f>F35+'Stampa rendiconto PI - USC '!I35</f>
        <v>73858</v>
      </c>
      <c r="M35" s="17">
        <v>0</v>
      </c>
      <c r="N35" s="17">
        <f t="shared" si="11"/>
        <v>107911</v>
      </c>
      <c r="O35" s="192">
        <f>G35+'Stampa rendiconto PI - USC '!J35</f>
        <v>107839</v>
      </c>
      <c r="P35" s="193"/>
    </row>
    <row r="36" spans="1:16" x14ac:dyDescent="0.25">
      <c r="A36" s="15" t="s">
        <v>256</v>
      </c>
      <c r="B36" s="16" t="s">
        <v>257</v>
      </c>
      <c r="C36" s="15"/>
      <c r="D36" s="15"/>
      <c r="E36" s="17">
        <v>0</v>
      </c>
      <c r="F36" s="17">
        <v>0</v>
      </c>
      <c r="G36" s="17">
        <f t="shared" si="10"/>
        <v>0</v>
      </c>
      <c r="H36" s="17">
        <f t="shared" si="12"/>
        <v>0</v>
      </c>
      <c r="I36" s="17">
        <v>0</v>
      </c>
      <c r="J36" s="17">
        <v>0</v>
      </c>
      <c r="K36" s="17">
        <f>H36+'Stampa rendiconto PI - USC '!H36</f>
        <v>0</v>
      </c>
      <c r="L36" s="17">
        <f>F36+'Stampa rendiconto PI - USC '!I36</f>
        <v>0</v>
      </c>
      <c r="M36" s="17">
        <v>0</v>
      </c>
      <c r="N36" s="17">
        <f t="shared" si="11"/>
        <v>0</v>
      </c>
      <c r="O36" s="192">
        <f>G36+'Stampa rendiconto PI - USC '!J36</f>
        <v>0</v>
      </c>
      <c r="P36" s="193"/>
    </row>
    <row r="37" spans="1:16" ht="25.5" x14ac:dyDescent="0.25">
      <c r="A37" s="15" t="s">
        <v>258</v>
      </c>
      <c r="B37" s="16" t="s">
        <v>259</v>
      </c>
      <c r="C37" s="15"/>
      <c r="D37" s="15"/>
      <c r="E37" s="17">
        <v>0</v>
      </c>
      <c r="F37" s="17">
        <v>0</v>
      </c>
      <c r="G37" s="17">
        <f t="shared" si="10"/>
        <v>0</v>
      </c>
      <c r="H37" s="17">
        <f t="shared" si="12"/>
        <v>0</v>
      </c>
      <c r="I37" s="17">
        <v>0</v>
      </c>
      <c r="J37" s="17">
        <v>0</v>
      </c>
      <c r="K37" s="17">
        <f>H37+'Stampa rendiconto PI - USC '!H37</f>
        <v>0</v>
      </c>
      <c r="L37" s="17">
        <f>F37+'Stampa rendiconto PI - USC '!I37</f>
        <v>0</v>
      </c>
      <c r="M37" s="17">
        <v>0</v>
      </c>
      <c r="N37" s="17">
        <f t="shared" si="11"/>
        <v>0</v>
      </c>
      <c r="O37" s="192">
        <f>G37+'Stampa rendiconto PI - USC '!J37</f>
        <v>0</v>
      </c>
      <c r="P37" s="193"/>
    </row>
    <row r="38" spans="1:16" ht="25.5" x14ac:dyDescent="0.25">
      <c r="A38" s="15" t="s">
        <v>260</v>
      </c>
      <c r="B38" s="16" t="s">
        <v>261</v>
      </c>
      <c r="C38" s="15"/>
      <c r="D38" s="15"/>
      <c r="E38" s="17">
        <v>0</v>
      </c>
      <c r="F38" s="17">
        <v>0</v>
      </c>
      <c r="G38" s="17">
        <f t="shared" si="10"/>
        <v>0</v>
      </c>
      <c r="H38" s="17">
        <f t="shared" si="12"/>
        <v>0</v>
      </c>
      <c r="I38" s="17">
        <v>0</v>
      </c>
      <c r="J38" s="17">
        <v>0</v>
      </c>
      <c r="K38" s="17">
        <f>H38+'Stampa rendiconto PI - USC '!H38</f>
        <v>9022</v>
      </c>
      <c r="L38" s="17">
        <f>F38+'Stampa rendiconto PI - USC '!I38</f>
        <v>9022</v>
      </c>
      <c r="M38" s="17">
        <v>0</v>
      </c>
      <c r="N38" s="17">
        <f t="shared" si="11"/>
        <v>0</v>
      </c>
      <c r="O38" s="192">
        <f>G38+'Stampa rendiconto PI - USC '!J38</f>
        <v>0</v>
      </c>
      <c r="P38" s="193"/>
    </row>
    <row r="39" spans="1:16" x14ac:dyDescent="0.25">
      <c r="A39" s="15" t="s">
        <v>262</v>
      </c>
      <c r="B39" s="16" t="s">
        <v>263</v>
      </c>
      <c r="C39" s="15"/>
      <c r="D39" s="15"/>
      <c r="E39" s="17">
        <v>0</v>
      </c>
      <c r="F39" s="17">
        <v>0</v>
      </c>
      <c r="G39" s="17">
        <f t="shared" si="10"/>
        <v>0</v>
      </c>
      <c r="H39" s="17">
        <f t="shared" si="12"/>
        <v>0</v>
      </c>
      <c r="I39" s="17">
        <v>0</v>
      </c>
      <c r="J39" s="17">
        <v>0</v>
      </c>
      <c r="K39" s="17">
        <f>H39+'Stampa rendiconto PI - USC '!H39</f>
        <v>18125</v>
      </c>
      <c r="L39" s="17">
        <f>F39+'Stampa rendiconto PI - USC '!I39</f>
        <v>5950</v>
      </c>
      <c r="M39" s="17">
        <v>0</v>
      </c>
      <c r="N39" s="17">
        <f t="shared" si="11"/>
        <v>12175</v>
      </c>
      <c r="O39" s="192">
        <f>G39+'Stampa rendiconto PI - USC '!J39</f>
        <v>12175</v>
      </c>
      <c r="P39" s="193"/>
    </row>
    <row r="40" spans="1:16" x14ac:dyDescent="0.25">
      <c r="A40" s="15" t="s">
        <v>264</v>
      </c>
      <c r="B40" s="16" t="s">
        <v>265</v>
      </c>
      <c r="C40" s="15"/>
      <c r="D40" s="15"/>
      <c r="E40" s="17">
        <v>0</v>
      </c>
      <c r="F40" s="17">
        <v>0</v>
      </c>
      <c r="G40" s="17">
        <f t="shared" si="10"/>
        <v>0</v>
      </c>
      <c r="H40" s="17">
        <f t="shared" si="12"/>
        <v>0</v>
      </c>
      <c r="I40" s="17">
        <v>0</v>
      </c>
      <c r="J40" s="17">
        <v>0</v>
      </c>
      <c r="K40" s="17">
        <f>H40+'Stampa rendiconto PI - USC '!H40</f>
        <v>15000</v>
      </c>
      <c r="L40" s="17">
        <f>F40+'Stampa rendiconto PI - USC '!I40</f>
        <v>11287</v>
      </c>
      <c r="M40" s="17">
        <v>0</v>
      </c>
      <c r="N40" s="17">
        <f t="shared" si="11"/>
        <v>3713</v>
      </c>
      <c r="O40" s="192">
        <f>G40+'Stampa rendiconto PI - USC '!J40</f>
        <v>1184</v>
      </c>
      <c r="P40" s="193"/>
    </row>
    <row r="41" spans="1:16" x14ac:dyDescent="0.25">
      <c r="A41" s="15" t="s">
        <v>266</v>
      </c>
      <c r="B41" s="16" t="s">
        <v>267</v>
      </c>
      <c r="C41" s="15"/>
      <c r="D41" s="15"/>
      <c r="E41" s="17">
        <v>288</v>
      </c>
      <c r="F41" s="17">
        <f>E41</f>
        <v>288</v>
      </c>
      <c r="G41" s="17">
        <f t="shared" si="10"/>
        <v>0</v>
      </c>
      <c r="H41" s="17">
        <f t="shared" si="12"/>
        <v>288</v>
      </c>
      <c r="I41" s="17">
        <v>0</v>
      </c>
      <c r="J41" s="17">
        <v>0</v>
      </c>
      <c r="K41" s="17">
        <f>H41+'Stampa rendiconto PI - USC '!H41</f>
        <v>1288</v>
      </c>
      <c r="L41" s="17">
        <f>F41+'Stampa rendiconto PI - USC '!I41</f>
        <v>1173</v>
      </c>
      <c r="M41" s="17">
        <v>0</v>
      </c>
      <c r="N41" s="17">
        <f t="shared" si="11"/>
        <v>115</v>
      </c>
      <c r="O41" s="192">
        <f>G41+'Stampa rendiconto PI - USC '!J41</f>
        <v>0</v>
      </c>
      <c r="P41" s="193"/>
    </row>
    <row r="42" spans="1:16" x14ac:dyDescent="0.25">
      <c r="A42" s="15" t="s">
        <v>268</v>
      </c>
      <c r="B42" s="16" t="s">
        <v>269</v>
      </c>
      <c r="C42" s="15"/>
      <c r="D42" s="15"/>
      <c r="E42" s="17">
        <v>6027</v>
      </c>
      <c r="F42" s="17">
        <v>0</v>
      </c>
      <c r="G42" s="17">
        <f t="shared" si="10"/>
        <v>6027</v>
      </c>
      <c r="H42" s="17">
        <f t="shared" si="12"/>
        <v>6027</v>
      </c>
      <c r="I42" s="17">
        <v>0</v>
      </c>
      <c r="J42" s="17">
        <v>0</v>
      </c>
      <c r="K42" s="17">
        <f>H42+'Stampa rendiconto PI - USC '!H42</f>
        <v>76027</v>
      </c>
      <c r="L42" s="17">
        <f>F42+'Stampa rendiconto PI - USC '!I42</f>
        <v>5933</v>
      </c>
      <c r="M42" s="17">
        <v>0</v>
      </c>
      <c r="N42" s="17">
        <f t="shared" si="11"/>
        <v>70094</v>
      </c>
      <c r="O42" s="192">
        <f>G42+'Stampa rendiconto PI - USC '!J42</f>
        <v>12636</v>
      </c>
      <c r="P42" s="193"/>
    </row>
    <row r="43" spans="1:16" ht="25.5" x14ac:dyDescent="0.25">
      <c r="A43" s="15" t="s">
        <v>270</v>
      </c>
      <c r="B43" s="16" t="s">
        <v>271</v>
      </c>
      <c r="C43" s="15"/>
      <c r="D43" s="15"/>
      <c r="E43" s="17">
        <v>0</v>
      </c>
      <c r="F43" s="17">
        <v>0</v>
      </c>
      <c r="G43" s="17">
        <f t="shared" si="10"/>
        <v>0</v>
      </c>
      <c r="H43" s="17">
        <f t="shared" si="12"/>
        <v>0</v>
      </c>
      <c r="I43" s="17">
        <v>0</v>
      </c>
      <c r="J43" s="17">
        <v>0</v>
      </c>
      <c r="K43" s="17">
        <f>H43+'Stampa rendiconto PI - USC '!H43</f>
        <v>0</v>
      </c>
      <c r="L43" s="17">
        <f>F43+'Stampa rendiconto PI - USC '!I43</f>
        <v>0</v>
      </c>
      <c r="M43" s="17">
        <v>0</v>
      </c>
      <c r="N43" s="17">
        <f t="shared" si="11"/>
        <v>0</v>
      </c>
      <c r="O43" s="192">
        <f>G43+'Stampa rendiconto PI - USC '!J43</f>
        <v>0</v>
      </c>
      <c r="P43" s="193"/>
    </row>
    <row r="44" spans="1:16" x14ac:dyDescent="0.25">
      <c r="A44" s="163" t="s">
        <v>272</v>
      </c>
      <c r="B44" s="163"/>
      <c r="C44" s="163"/>
      <c r="D44" s="163"/>
      <c r="E44" s="11">
        <f>SUM(E26:E43)</f>
        <v>162228</v>
      </c>
      <c r="F44" s="11">
        <f>SUM(F26:F43)</f>
        <v>118655</v>
      </c>
      <c r="G44" s="11">
        <f>SUM(G26:G43)</f>
        <v>42639</v>
      </c>
      <c r="H44" s="11">
        <f>SUM(H26:H43)</f>
        <v>161294</v>
      </c>
      <c r="I44" s="11">
        <f t="shared" ref="I44:J44" si="13">SUM(I26:I43)</f>
        <v>0</v>
      </c>
      <c r="J44" s="11">
        <f t="shared" si="13"/>
        <v>934</v>
      </c>
      <c r="K44" s="11">
        <f>SUM(K26:K43)</f>
        <v>911609</v>
      </c>
      <c r="L44" s="11">
        <f t="shared" ref="L44:M44" si="14">SUM(L26:L43)</f>
        <v>451308</v>
      </c>
      <c r="M44" s="11">
        <f t="shared" si="14"/>
        <v>0</v>
      </c>
      <c r="N44" s="11">
        <f>SUM(N26:N43)</f>
        <v>460301</v>
      </c>
      <c r="O44" s="186">
        <f>SUM(O26:P43)</f>
        <v>269467</v>
      </c>
      <c r="P44" s="187"/>
    </row>
    <row r="45" spans="1:16" x14ac:dyDescent="0.25">
      <c r="A45" s="6" t="s">
        <v>273</v>
      </c>
      <c r="B45" s="173" t="s">
        <v>274</v>
      </c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</row>
    <row r="46" spans="1:16" ht="25.5" x14ac:dyDescent="0.25">
      <c r="A46" s="15" t="s">
        <v>275</v>
      </c>
      <c r="B46" s="16" t="s">
        <v>276</v>
      </c>
      <c r="C46" s="15"/>
      <c r="D46" s="15"/>
      <c r="E46" s="17">
        <v>277493</v>
      </c>
      <c r="F46" s="17">
        <f>ROUND(241963.4,0)</f>
        <v>241963</v>
      </c>
      <c r="G46" s="17">
        <f t="shared" ref="G46:G50" si="15">H46-F46</f>
        <v>35530</v>
      </c>
      <c r="H46" s="17">
        <f>E46-J46</f>
        <v>277493</v>
      </c>
      <c r="I46" s="17">
        <v>0</v>
      </c>
      <c r="J46" s="17">
        <v>0</v>
      </c>
      <c r="K46" s="17">
        <f>H46+'Stampa rendiconto PI - USC '!H46</f>
        <v>2427493</v>
      </c>
      <c r="L46" s="17">
        <f>F46+'Stampa rendiconto PI - USC '!I46</f>
        <v>1609606</v>
      </c>
      <c r="M46" s="17">
        <v>0</v>
      </c>
      <c r="N46" s="17">
        <f t="shared" ref="N46:N50" si="16">K46-L46</f>
        <v>817887</v>
      </c>
      <c r="O46" s="184">
        <f>G46+'Stampa rendiconto PI - USC '!J46</f>
        <v>452036</v>
      </c>
      <c r="P46" s="185"/>
    </row>
    <row r="47" spans="1:16" ht="38.25" x14ac:dyDescent="0.25">
      <c r="A47" s="15" t="s">
        <v>277</v>
      </c>
      <c r="B47" s="16" t="s">
        <v>278</v>
      </c>
      <c r="C47" s="15"/>
      <c r="D47" s="15"/>
      <c r="E47" s="17">
        <v>1449687</v>
      </c>
      <c r="F47" s="17">
        <f>ROUND(1372371.63,0)</f>
        <v>1372372</v>
      </c>
      <c r="G47" s="17">
        <f t="shared" si="15"/>
        <v>77315</v>
      </c>
      <c r="H47" s="17">
        <f>E47-J47</f>
        <v>1449687</v>
      </c>
      <c r="I47" s="17">
        <v>0</v>
      </c>
      <c r="J47" s="17">
        <v>0</v>
      </c>
      <c r="K47" s="17">
        <f>H47+'Stampa rendiconto PI - USC '!H47</f>
        <v>6299687</v>
      </c>
      <c r="L47" s="17">
        <f>F47+'Stampa rendiconto PI - USC '!I47</f>
        <v>3061271</v>
      </c>
      <c r="M47" s="17">
        <v>0</v>
      </c>
      <c r="N47" s="17">
        <f t="shared" si="16"/>
        <v>3238416</v>
      </c>
      <c r="O47" s="192">
        <f>G47+'Stampa rendiconto PI - USC '!J47</f>
        <v>2356584</v>
      </c>
      <c r="P47" s="193"/>
    </row>
    <row r="48" spans="1:16" ht="38.25" x14ac:dyDescent="0.25">
      <c r="A48" s="15" t="s">
        <v>279</v>
      </c>
      <c r="B48" s="16" t="s">
        <v>280</v>
      </c>
      <c r="C48" s="15"/>
      <c r="D48" s="15"/>
      <c r="E48" s="17">
        <v>0</v>
      </c>
      <c r="F48" s="17">
        <v>0</v>
      </c>
      <c r="G48" s="17">
        <f t="shared" si="15"/>
        <v>0</v>
      </c>
      <c r="H48" s="17">
        <f t="shared" ref="H48:H50" si="17">E48</f>
        <v>0</v>
      </c>
      <c r="I48" s="17">
        <v>0</v>
      </c>
      <c r="J48" s="17">
        <v>0</v>
      </c>
      <c r="K48" s="17">
        <f>H48+'Stampa rendiconto PI - USC '!H48</f>
        <v>205000</v>
      </c>
      <c r="L48" s="17">
        <f>F48+'Stampa rendiconto PI - USC '!I48</f>
        <v>0</v>
      </c>
      <c r="M48" s="17">
        <v>0</v>
      </c>
      <c r="N48" s="17">
        <f t="shared" si="16"/>
        <v>205000</v>
      </c>
      <c r="O48" s="192">
        <f>G48+'Stampa rendiconto PI - USC '!J48</f>
        <v>0</v>
      </c>
      <c r="P48" s="193"/>
    </row>
    <row r="49" spans="1:16" x14ac:dyDescent="0.25">
      <c r="A49" s="15" t="s">
        <v>281</v>
      </c>
      <c r="B49" s="16" t="s">
        <v>282</v>
      </c>
      <c r="C49" s="15"/>
      <c r="D49" s="15"/>
      <c r="E49" s="17">
        <v>48691</v>
      </c>
      <c r="F49" s="17">
        <f>ROUND(37145.94,0)</f>
        <v>37146</v>
      </c>
      <c r="G49" s="17">
        <f t="shared" si="15"/>
        <v>11545</v>
      </c>
      <c r="H49" s="17">
        <f>E49-J49</f>
        <v>48691</v>
      </c>
      <c r="I49" s="17">
        <v>0</v>
      </c>
      <c r="J49" s="17">
        <v>0</v>
      </c>
      <c r="K49" s="17">
        <f>H49+'Stampa rendiconto PI - USC '!H49</f>
        <v>218691</v>
      </c>
      <c r="L49" s="17">
        <f>F49+'Stampa rendiconto PI - USC '!I49</f>
        <v>134758</v>
      </c>
      <c r="M49" s="17">
        <v>0</v>
      </c>
      <c r="N49" s="17">
        <f t="shared" si="16"/>
        <v>83933</v>
      </c>
      <c r="O49" s="192">
        <f>G49+'Stampa rendiconto PI - USC '!J49</f>
        <v>83832</v>
      </c>
      <c r="P49" s="193"/>
    </row>
    <row r="50" spans="1:16" ht="25.5" x14ac:dyDescent="0.25">
      <c r="A50" s="15" t="s">
        <v>283</v>
      </c>
      <c r="B50" s="16" t="s">
        <v>284</v>
      </c>
      <c r="C50" s="15"/>
      <c r="D50" s="15"/>
      <c r="E50" s="17">
        <v>0</v>
      </c>
      <c r="F50" s="17">
        <v>0</v>
      </c>
      <c r="G50" s="17">
        <f t="shared" si="15"/>
        <v>0</v>
      </c>
      <c r="H50" s="17">
        <f t="shared" si="17"/>
        <v>0</v>
      </c>
      <c r="I50" s="17">
        <v>0</v>
      </c>
      <c r="J50" s="17">
        <v>0</v>
      </c>
      <c r="K50" s="17">
        <f>H50+'Stampa rendiconto PI - USC '!H50</f>
        <v>0</v>
      </c>
      <c r="L50" s="17">
        <f>F50+'Stampa rendiconto PI - USC '!I50</f>
        <v>0</v>
      </c>
      <c r="M50" s="17">
        <v>0</v>
      </c>
      <c r="N50" s="17">
        <f t="shared" si="16"/>
        <v>0</v>
      </c>
      <c r="O50" s="192">
        <f>G50+'Stampa rendiconto PI - USC '!J50</f>
        <v>0</v>
      </c>
      <c r="P50" s="193"/>
    </row>
    <row r="51" spans="1:16" x14ac:dyDescent="0.25">
      <c r="A51" s="163" t="s">
        <v>285</v>
      </c>
      <c r="B51" s="163"/>
      <c r="C51" s="163"/>
      <c r="D51" s="163"/>
      <c r="E51" s="11">
        <f>SUM(E46:E50)</f>
        <v>1775871</v>
      </c>
      <c r="F51" s="11">
        <f>SUM(F46:F50)</f>
        <v>1651481</v>
      </c>
      <c r="G51" s="11">
        <f>SUM(G46:G50)</f>
        <v>124390</v>
      </c>
      <c r="H51" s="11">
        <f>SUM(H46:H50)</f>
        <v>1775871</v>
      </c>
      <c r="I51" s="11">
        <f t="shared" ref="I51:J51" si="18">SUM(I46:I50)</f>
        <v>0</v>
      </c>
      <c r="J51" s="11">
        <f t="shared" si="18"/>
        <v>0</v>
      </c>
      <c r="K51" s="11">
        <f>SUM(K46:K50)</f>
        <v>9150871</v>
      </c>
      <c r="L51" s="11">
        <f t="shared" ref="L51:M51" si="19">SUM(L46:L50)</f>
        <v>4805635</v>
      </c>
      <c r="M51" s="11">
        <f t="shared" si="19"/>
        <v>0</v>
      </c>
      <c r="N51" s="11">
        <f>SUM(N46:N50)</f>
        <v>4345236</v>
      </c>
      <c r="O51" s="186">
        <f>SUM(O46:P50)</f>
        <v>2892452</v>
      </c>
      <c r="P51" s="187"/>
    </row>
    <row r="52" spans="1:16" x14ac:dyDescent="0.25">
      <c r="A52" s="6" t="s">
        <v>286</v>
      </c>
      <c r="B52" s="173" t="s">
        <v>287</v>
      </c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</row>
    <row r="53" spans="1:16" ht="25.5" x14ac:dyDescent="0.25">
      <c r="A53" s="15" t="s">
        <v>288</v>
      </c>
      <c r="B53" s="16" t="s">
        <v>289</v>
      </c>
      <c r="C53" s="15"/>
      <c r="D53" s="15"/>
      <c r="E53" s="17">
        <v>164264</v>
      </c>
      <c r="F53" s="17">
        <f>ROUND(76949.06,0)</f>
        <v>76949</v>
      </c>
      <c r="G53" s="17">
        <f>H53-F53</f>
        <v>87315</v>
      </c>
      <c r="H53" s="17">
        <f>E53-J53</f>
        <v>164264</v>
      </c>
      <c r="I53" s="17">
        <v>0</v>
      </c>
      <c r="J53" s="17">
        <v>0</v>
      </c>
      <c r="K53" s="17">
        <f>H53+'Stampa rendiconto PI - USC '!H53</f>
        <v>657464</v>
      </c>
      <c r="L53" s="17">
        <f>F53+'Stampa rendiconto PI - USC '!I53</f>
        <v>364372</v>
      </c>
      <c r="M53" s="17">
        <v>0</v>
      </c>
      <c r="N53" s="17">
        <f t="shared" ref="N53:N55" si="20">K53-L53</f>
        <v>293092</v>
      </c>
      <c r="O53" s="184">
        <f>G53+'Stampa rendiconto PI - USC '!J53</f>
        <v>233912</v>
      </c>
      <c r="P53" s="185"/>
    </row>
    <row r="54" spans="1:16" ht="38.25" x14ac:dyDescent="0.25">
      <c r="A54" s="15" t="s">
        <v>290</v>
      </c>
      <c r="B54" s="16" t="s">
        <v>291</v>
      </c>
      <c r="C54" s="15"/>
      <c r="D54" s="15"/>
      <c r="E54" s="17">
        <v>0</v>
      </c>
      <c r="F54" s="17">
        <v>0</v>
      </c>
      <c r="G54" s="17">
        <f t="shared" ref="G54:G55" si="21">H54-F54</f>
        <v>0</v>
      </c>
      <c r="H54" s="17">
        <f t="shared" ref="H54:H55" si="22">E54</f>
        <v>0</v>
      </c>
      <c r="I54" s="17">
        <v>0</v>
      </c>
      <c r="J54" s="17">
        <v>0</v>
      </c>
      <c r="K54" s="17">
        <f>H54+'Stampa rendiconto PI - USC '!H54</f>
        <v>0</v>
      </c>
      <c r="L54" s="17">
        <f>F54+'Stampa rendiconto PI - USC '!I54</f>
        <v>0</v>
      </c>
      <c r="M54" s="17">
        <v>0</v>
      </c>
      <c r="N54" s="17">
        <f t="shared" si="20"/>
        <v>0</v>
      </c>
      <c r="O54" s="192">
        <f>G54+'Stampa rendiconto PI - USC '!J54</f>
        <v>0</v>
      </c>
      <c r="P54" s="193"/>
    </row>
    <row r="55" spans="1:16" ht="25.5" x14ac:dyDescent="0.25">
      <c r="A55" s="15" t="s">
        <v>292</v>
      </c>
      <c r="B55" s="16" t="s">
        <v>293</v>
      </c>
      <c r="C55" s="15"/>
      <c r="D55" s="15"/>
      <c r="E55" s="17">
        <v>0</v>
      </c>
      <c r="F55" s="17">
        <v>0</v>
      </c>
      <c r="G55" s="17">
        <f t="shared" si="21"/>
        <v>0</v>
      </c>
      <c r="H55" s="17">
        <f t="shared" si="22"/>
        <v>0</v>
      </c>
      <c r="I55" s="17">
        <v>0</v>
      </c>
      <c r="J55" s="17">
        <v>0</v>
      </c>
      <c r="K55" s="17">
        <f>H55+'Stampa rendiconto PI - USC '!H55</f>
        <v>20000</v>
      </c>
      <c r="L55" s="17">
        <f>F55+'Stampa rendiconto PI - USC '!I55</f>
        <v>0</v>
      </c>
      <c r="M55" s="17">
        <v>0</v>
      </c>
      <c r="N55" s="17">
        <f t="shared" si="20"/>
        <v>20000</v>
      </c>
      <c r="O55" s="192">
        <f>G55+'Stampa rendiconto PI - USC '!J55</f>
        <v>0</v>
      </c>
      <c r="P55" s="193"/>
    </row>
    <row r="56" spans="1:16" x14ac:dyDescent="0.25">
      <c r="A56" s="163" t="s">
        <v>294</v>
      </c>
      <c r="B56" s="163"/>
      <c r="C56" s="163"/>
      <c r="D56" s="163"/>
      <c r="E56" s="11">
        <f>SUM(E53:E55)</f>
        <v>164264</v>
      </c>
      <c r="F56" s="11">
        <f>SUM(F53:F55)</f>
        <v>76949</v>
      </c>
      <c r="G56" s="11">
        <f t="shared" ref="G56:J56" si="23">SUM(G53:G55)</f>
        <v>87315</v>
      </c>
      <c r="H56" s="11">
        <f t="shared" si="23"/>
        <v>164264</v>
      </c>
      <c r="I56" s="11">
        <f t="shared" si="23"/>
        <v>0</v>
      </c>
      <c r="J56" s="11">
        <f t="shared" si="23"/>
        <v>0</v>
      </c>
      <c r="K56" s="11">
        <f>SUM(K53:K55)</f>
        <v>677464</v>
      </c>
      <c r="L56" s="11">
        <f t="shared" ref="L56:M56" si="24">SUM(L53:L55)</f>
        <v>364372</v>
      </c>
      <c r="M56" s="11">
        <f t="shared" si="24"/>
        <v>0</v>
      </c>
      <c r="N56" s="11">
        <f>SUM(N53:N55)</f>
        <v>313092</v>
      </c>
      <c r="O56" s="186">
        <f>SUM(O53:P55)</f>
        <v>233912</v>
      </c>
      <c r="P56" s="187"/>
    </row>
    <row r="57" spans="1:16" x14ac:dyDescent="0.25">
      <c r="A57" s="6" t="s">
        <v>295</v>
      </c>
      <c r="B57" s="173" t="s">
        <v>296</v>
      </c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</row>
    <row r="58" spans="1:16" x14ac:dyDescent="0.25">
      <c r="A58" s="15" t="s">
        <v>297</v>
      </c>
      <c r="B58" s="16" t="s">
        <v>298</v>
      </c>
      <c r="C58" s="15"/>
      <c r="D58" s="15"/>
      <c r="E58" s="17">
        <v>155</v>
      </c>
      <c r="F58" s="17">
        <f>ROUND(82.81,0)</f>
        <v>83</v>
      </c>
      <c r="G58" s="17">
        <f t="shared" ref="G58" si="25">H58-F58</f>
        <v>72</v>
      </c>
      <c r="H58" s="17">
        <f>E58-J58</f>
        <v>155</v>
      </c>
      <c r="I58" s="17">
        <v>0</v>
      </c>
      <c r="J58" s="17">
        <v>0</v>
      </c>
      <c r="K58" s="17">
        <f>H58+'Stampa rendiconto PI - USC '!H58</f>
        <v>25155</v>
      </c>
      <c r="L58" s="17">
        <f>F58+'Stampa rendiconto PI - USC '!I58</f>
        <v>23964</v>
      </c>
      <c r="M58" s="17">
        <v>0</v>
      </c>
      <c r="N58" s="17">
        <f>K58-L58</f>
        <v>1191</v>
      </c>
      <c r="O58" s="184">
        <f>G58+'Stampa rendiconto PI - USC '!J58</f>
        <v>191</v>
      </c>
      <c r="P58" s="185"/>
    </row>
    <row r="59" spans="1:16" x14ac:dyDescent="0.25">
      <c r="A59" s="163" t="s">
        <v>299</v>
      </c>
      <c r="B59" s="163"/>
      <c r="C59" s="163"/>
      <c r="D59" s="163"/>
      <c r="E59" s="11">
        <f>SUM(E58)</f>
        <v>155</v>
      </c>
      <c r="F59" s="11">
        <f>SUM(F58)</f>
        <v>83</v>
      </c>
      <c r="G59" s="11">
        <f>SUM(G58)</f>
        <v>72</v>
      </c>
      <c r="H59" s="11">
        <f t="shared" ref="H59:J59" si="26">SUM(H58)</f>
        <v>155</v>
      </c>
      <c r="I59" s="11">
        <f t="shared" si="26"/>
        <v>0</v>
      </c>
      <c r="J59" s="11">
        <f t="shared" si="26"/>
        <v>0</v>
      </c>
      <c r="K59" s="11">
        <f>SUM(K58)</f>
        <v>25155</v>
      </c>
      <c r="L59" s="11">
        <f t="shared" ref="L59:N59" si="27">SUM(L58)</f>
        <v>23964</v>
      </c>
      <c r="M59" s="11">
        <f t="shared" si="27"/>
        <v>0</v>
      </c>
      <c r="N59" s="11">
        <f t="shared" si="27"/>
        <v>1191</v>
      </c>
      <c r="O59" s="186">
        <f>SUM(O58)</f>
        <v>191</v>
      </c>
      <c r="P59" s="187"/>
    </row>
    <row r="60" spans="1:16" x14ac:dyDescent="0.25">
      <c r="A60" s="6" t="s">
        <v>300</v>
      </c>
      <c r="B60" s="173" t="s">
        <v>301</v>
      </c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</row>
    <row r="61" spans="1:16" x14ac:dyDescent="0.25">
      <c r="A61" s="15" t="s">
        <v>302</v>
      </c>
      <c r="B61" s="16" t="s">
        <v>303</v>
      </c>
      <c r="C61" s="15"/>
      <c r="D61" s="15"/>
      <c r="E61" s="17">
        <v>42354</v>
      </c>
      <c r="F61" s="17">
        <f>ROUND(42098.66,0)</f>
        <v>42099</v>
      </c>
      <c r="G61" s="17">
        <f t="shared" ref="G61" si="28">H61-F61</f>
        <v>255</v>
      </c>
      <c r="H61" s="17">
        <f>E61</f>
        <v>42354</v>
      </c>
      <c r="I61" s="17">
        <v>0</v>
      </c>
      <c r="J61" s="17">
        <v>0</v>
      </c>
      <c r="K61" s="17">
        <f>H61+'Stampa rendiconto PI - USC '!H61</f>
        <v>1129987</v>
      </c>
      <c r="L61" s="17">
        <f>F61+'Stampa rendiconto PI - USC '!I61</f>
        <v>1068236</v>
      </c>
      <c r="M61" s="17">
        <v>0</v>
      </c>
      <c r="N61" s="17">
        <f>K61-L61</f>
        <v>61751</v>
      </c>
      <c r="O61" s="184">
        <f>G61+'Stampa rendiconto PI - USC '!J61</f>
        <v>54196</v>
      </c>
      <c r="P61" s="185"/>
    </row>
    <row r="62" spans="1:16" x14ac:dyDescent="0.25">
      <c r="A62" s="163" t="s">
        <v>304</v>
      </c>
      <c r="B62" s="163"/>
      <c r="C62" s="163"/>
      <c r="D62" s="163"/>
      <c r="E62" s="11">
        <f>E61</f>
        <v>42354</v>
      </c>
      <c r="F62" s="11">
        <f t="shared" ref="F62:H62" si="29">F61</f>
        <v>42099</v>
      </c>
      <c r="G62" s="11">
        <f t="shared" si="29"/>
        <v>255</v>
      </c>
      <c r="H62" s="11">
        <f t="shared" si="29"/>
        <v>42354</v>
      </c>
      <c r="I62" s="11">
        <v>0</v>
      </c>
      <c r="J62" s="11">
        <v>0</v>
      </c>
      <c r="K62" s="11">
        <f>SUM(K61)</f>
        <v>1129987</v>
      </c>
      <c r="L62" s="11">
        <f t="shared" ref="L62:N62" si="30">SUM(L61)</f>
        <v>1068236</v>
      </c>
      <c r="M62" s="11">
        <f t="shared" si="30"/>
        <v>0</v>
      </c>
      <c r="N62" s="11">
        <f t="shared" si="30"/>
        <v>61751</v>
      </c>
      <c r="O62" s="186">
        <f>SUM(O61)</f>
        <v>54196</v>
      </c>
      <c r="P62" s="187"/>
    </row>
    <row r="63" spans="1:16" x14ac:dyDescent="0.25">
      <c r="A63" s="6" t="s">
        <v>305</v>
      </c>
      <c r="B63" s="173" t="s">
        <v>306</v>
      </c>
      <c r="C63" s="174"/>
      <c r="D63" s="174"/>
      <c r="E63" s="174"/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4"/>
    </row>
    <row r="64" spans="1:16" x14ac:dyDescent="0.25">
      <c r="A64" s="15" t="s">
        <v>307</v>
      </c>
      <c r="B64" s="16" t="s">
        <v>308</v>
      </c>
      <c r="C64" s="15"/>
      <c r="D64" s="15"/>
      <c r="E64" s="17">
        <v>0</v>
      </c>
      <c r="F64" s="17">
        <v>0</v>
      </c>
      <c r="G64" s="17">
        <f t="shared" ref="G64" si="31">H64-F64</f>
        <v>0</v>
      </c>
      <c r="H64" s="17">
        <f>E64-J64</f>
        <v>0</v>
      </c>
      <c r="I64" s="17">
        <v>0</v>
      </c>
      <c r="J64" s="17">
        <v>0</v>
      </c>
      <c r="K64" s="17">
        <f>H64+'Stampa rendiconto PI - USC '!H64</f>
        <v>15000</v>
      </c>
      <c r="L64" s="17">
        <f>F64+'Stampa rendiconto PI - USC '!I64</f>
        <v>0</v>
      </c>
      <c r="M64" s="17">
        <v>0</v>
      </c>
      <c r="N64" s="17">
        <f>K64-L64</f>
        <v>15000</v>
      </c>
      <c r="O64" s="184">
        <f>G64+'Stampa rendiconto PI - USC '!J64</f>
        <v>0</v>
      </c>
      <c r="P64" s="185"/>
    </row>
    <row r="65" spans="1:16" x14ac:dyDescent="0.25">
      <c r="A65" s="163" t="s">
        <v>309</v>
      </c>
      <c r="B65" s="163"/>
      <c r="C65" s="163"/>
      <c r="D65" s="163"/>
      <c r="E65" s="11">
        <f>E64</f>
        <v>0</v>
      </c>
      <c r="F65" s="11">
        <f t="shared" ref="F65:J65" si="32">F64</f>
        <v>0</v>
      </c>
      <c r="G65" s="11">
        <f t="shared" si="32"/>
        <v>0</v>
      </c>
      <c r="H65" s="11">
        <f t="shared" si="32"/>
        <v>0</v>
      </c>
      <c r="I65" s="11">
        <f t="shared" si="32"/>
        <v>0</v>
      </c>
      <c r="J65" s="11">
        <f t="shared" si="32"/>
        <v>0</v>
      </c>
      <c r="K65" s="11">
        <f>SUM(K64)</f>
        <v>15000</v>
      </c>
      <c r="L65" s="11">
        <f t="shared" ref="L65:N65" si="33">SUM(L64)</f>
        <v>0</v>
      </c>
      <c r="M65" s="11">
        <f t="shared" si="33"/>
        <v>0</v>
      </c>
      <c r="N65" s="11">
        <f t="shared" si="33"/>
        <v>15000</v>
      </c>
      <c r="O65" s="186">
        <f>SUM(O64)</f>
        <v>0</v>
      </c>
      <c r="P65" s="187"/>
    </row>
    <row r="66" spans="1:16" x14ac:dyDescent="0.25">
      <c r="A66" s="6" t="s">
        <v>310</v>
      </c>
      <c r="B66" s="173" t="s">
        <v>311</v>
      </c>
      <c r="C66" s="174"/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4"/>
    </row>
    <row r="67" spans="1:16" x14ac:dyDescent="0.25">
      <c r="A67" s="15" t="s">
        <v>312</v>
      </c>
      <c r="B67" s="16" t="s">
        <v>313</v>
      </c>
      <c r="C67" s="15"/>
      <c r="D67" s="15"/>
      <c r="E67" s="17">
        <v>104748</v>
      </c>
      <c r="F67" s="17">
        <f>ROUND(19832.75,0)</f>
        <v>19833</v>
      </c>
      <c r="G67" s="17">
        <f t="shared" ref="G67:G70" si="34">H67-F67</f>
        <v>84915</v>
      </c>
      <c r="H67" s="17">
        <f t="shared" ref="H67:H70" si="35">E67</f>
        <v>104748</v>
      </c>
      <c r="I67" s="17">
        <v>0</v>
      </c>
      <c r="J67" s="17">
        <v>0</v>
      </c>
      <c r="K67" s="17">
        <f>H67+'Stampa rendiconto PI - USC '!H67</f>
        <v>104748</v>
      </c>
      <c r="L67" s="17">
        <f>F67+'Stampa rendiconto PI - USC '!I67</f>
        <v>19833</v>
      </c>
      <c r="M67" s="17">
        <v>0</v>
      </c>
      <c r="N67" s="17">
        <f t="shared" ref="N67:N70" si="36">K67-L67</f>
        <v>84915</v>
      </c>
      <c r="O67" s="184">
        <f>G67+'Stampa rendiconto PI - USC '!J67</f>
        <v>84915</v>
      </c>
      <c r="P67" s="185"/>
    </row>
    <row r="68" spans="1:16" x14ac:dyDescent="0.25">
      <c r="A68" s="15" t="s">
        <v>314</v>
      </c>
      <c r="B68" s="16" t="s">
        <v>315</v>
      </c>
      <c r="C68" s="15"/>
      <c r="D68" s="15"/>
      <c r="E68" s="17">
        <v>0</v>
      </c>
      <c r="F68" s="17">
        <v>0</v>
      </c>
      <c r="G68" s="17">
        <f t="shared" si="34"/>
        <v>0</v>
      </c>
      <c r="H68" s="17">
        <f t="shared" si="35"/>
        <v>0</v>
      </c>
      <c r="I68" s="17">
        <v>0</v>
      </c>
      <c r="J68" s="17">
        <v>0</v>
      </c>
      <c r="K68" s="17">
        <f>H68+'Stampa rendiconto PI - USC '!H68</f>
        <v>200000</v>
      </c>
      <c r="L68" s="17">
        <f>F68+'Stampa rendiconto PI - USC '!I68</f>
        <v>0</v>
      </c>
      <c r="M68" s="17">
        <v>0</v>
      </c>
      <c r="N68" s="17">
        <f t="shared" si="36"/>
        <v>200000</v>
      </c>
      <c r="O68" s="192">
        <f>G68+'Stampa rendiconto PI - USC '!J68</f>
        <v>0</v>
      </c>
      <c r="P68" s="193"/>
    </row>
    <row r="69" spans="1:16" x14ac:dyDescent="0.25">
      <c r="A69" s="15" t="s">
        <v>316</v>
      </c>
      <c r="B69" s="16" t="s">
        <v>317</v>
      </c>
      <c r="C69" s="15"/>
      <c r="D69" s="15"/>
      <c r="E69" s="17">
        <v>0</v>
      </c>
      <c r="F69" s="17">
        <v>0</v>
      </c>
      <c r="G69" s="17">
        <f t="shared" si="34"/>
        <v>0</v>
      </c>
      <c r="H69" s="17">
        <f t="shared" si="35"/>
        <v>0</v>
      </c>
      <c r="I69" s="17">
        <v>0</v>
      </c>
      <c r="J69" s="17">
        <v>0</v>
      </c>
      <c r="K69" s="17">
        <f>H69+'Stampa rendiconto PI - USC '!H69</f>
        <v>308863</v>
      </c>
      <c r="L69" s="17">
        <f>F69+'Stampa rendiconto PI - USC '!I69</f>
        <v>308863</v>
      </c>
      <c r="M69" s="17">
        <v>0</v>
      </c>
      <c r="N69" s="17">
        <f t="shared" si="36"/>
        <v>0</v>
      </c>
      <c r="O69" s="192">
        <f>G69+'Stampa rendiconto PI - USC '!J69</f>
        <v>0</v>
      </c>
      <c r="P69" s="193"/>
    </row>
    <row r="70" spans="1:16" x14ac:dyDescent="0.25">
      <c r="A70" s="15" t="s">
        <v>318</v>
      </c>
      <c r="B70" s="16" t="s">
        <v>319</v>
      </c>
      <c r="C70" s="15"/>
      <c r="D70" s="15"/>
      <c r="E70" s="17">
        <v>0</v>
      </c>
      <c r="F70" s="17">
        <v>0</v>
      </c>
      <c r="G70" s="17">
        <f t="shared" si="34"/>
        <v>0</v>
      </c>
      <c r="H70" s="17">
        <f t="shared" si="35"/>
        <v>0</v>
      </c>
      <c r="I70" s="17">
        <v>0</v>
      </c>
      <c r="J70" s="17">
        <v>0</v>
      </c>
      <c r="K70" s="17">
        <f>H70+'Stampa rendiconto PI - USC '!H70</f>
        <v>0</v>
      </c>
      <c r="L70" s="17">
        <f>F70+'Stampa rendiconto PI - USC '!I70</f>
        <v>0</v>
      </c>
      <c r="M70" s="17">
        <v>0</v>
      </c>
      <c r="N70" s="17">
        <f t="shared" si="36"/>
        <v>0</v>
      </c>
      <c r="O70" s="192">
        <f>G70+'Stampa rendiconto PI - USC '!J70</f>
        <v>0</v>
      </c>
      <c r="P70" s="193"/>
    </row>
    <row r="71" spans="1:16" x14ac:dyDescent="0.25">
      <c r="A71" s="163" t="s">
        <v>320</v>
      </c>
      <c r="B71" s="163"/>
      <c r="C71" s="163"/>
      <c r="D71" s="163"/>
      <c r="E71" s="11">
        <f>SUM(E67:E70)</f>
        <v>104748</v>
      </c>
      <c r="F71" s="11">
        <f t="shared" ref="F71:H71" si="37">SUM(F67:F70)</f>
        <v>19833</v>
      </c>
      <c r="G71" s="11">
        <f t="shared" si="37"/>
        <v>84915</v>
      </c>
      <c r="H71" s="11">
        <f t="shared" si="37"/>
        <v>104748</v>
      </c>
      <c r="I71" s="11">
        <v>0</v>
      </c>
      <c r="J71" s="11">
        <v>0</v>
      </c>
      <c r="K71" s="11">
        <f>SUM(K67:K70)</f>
        <v>613611</v>
      </c>
      <c r="L71" s="11">
        <f t="shared" ref="L71:N71" si="38">SUM(L67:L70)</f>
        <v>328696</v>
      </c>
      <c r="M71" s="11">
        <f t="shared" si="38"/>
        <v>0</v>
      </c>
      <c r="N71" s="11">
        <f t="shared" si="38"/>
        <v>284915</v>
      </c>
      <c r="O71" s="186">
        <f>SUM(O67:P70)</f>
        <v>84915</v>
      </c>
      <c r="P71" s="187"/>
    </row>
    <row r="72" spans="1:16" x14ac:dyDescent="0.25">
      <c r="A72" s="6" t="s">
        <v>321</v>
      </c>
      <c r="B72" s="173" t="s">
        <v>322</v>
      </c>
      <c r="C72" s="174"/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</row>
    <row r="73" spans="1:16" ht="25.5" x14ac:dyDescent="0.25">
      <c r="A73" s="15" t="s">
        <v>323</v>
      </c>
      <c r="B73" s="16" t="s">
        <v>324</v>
      </c>
      <c r="C73" s="15"/>
      <c r="D73" s="15"/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f>H73+'Stampa rendiconto PI - USC '!H73</f>
        <v>0</v>
      </c>
      <c r="L73" s="17">
        <v>0</v>
      </c>
      <c r="M73" s="17">
        <v>0</v>
      </c>
      <c r="N73" s="17">
        <v>0</v>
      </c>
      <c r="O73" s="184">
        <v>0</v>
      </c>
      <c r="P73" s="185"/>
    </row>
    <row r="74" spans="1:16" x14ac:dyDescent="0.25">
      <c r="A74" s="163" t="s">
        <v>325</v>
      </c>
      <c r="B74" s="163"/>
      <c r="C74" s="163"/>
      <c r="D74" s="163"/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86">
        <v>0</v>
      </c>
      <c r="P74" s="187"/>
    </row>
    <row r="75" spans="1:16" x14ac:dyDescent="0.25">
      <c r="A75" s="6" t="s">
        <v>326</v>
      </c>
      <c r="B75" s="173" t="s">
        <v>327</v>
      </c>
      <c r="C75" s="174"/>
      <c r="D75" s="174"/>
      <c r="E75" s="174"/>
      <c r="F75" s="174"/>
      <c r="G75" s="174"/>
      <c r="H75" s="174"/>
      <c r="I75" s="174"/>
      <c r="J75" s="174"/>
      <c r="K75" s="174"/>
      <c r="L75" s="174"/>
      <c r="M75" s="174"/>
      <c r="N75" s="174"/>
      <c r="O75" s="174"/>
      <c r="P75" s="174"/>
    </row>
    <row r="76" spans="1:16" ht="25.5" x14ac:dyDescent="0.25">
      <c r="A76" s="15" t="s">
        <v>328</v>
      </c>
      <c r="B76" s="16" t="s">
        <v>329</v>
      </c>
      <c r="C76" s="15"/>
      <c r="D76" s="15"/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f>H76+'Stampa rendiconto PI - USC '!H76</f>
        <v>0</v>
      </c>
      <c r="L76" s="17">
        <v>0</v>
      </c>
      <c r="M76" s="17">
        <v>0</v>
      </c>
      <c r="N76" s="17">
        <v>0</v>
      </c>
      <c r="O76" s="184">
        <v>0</v>
      </c>
      <c r="P76" s="185"/>
    </row>
    <row r="77" spans="1:16" x14ac:dyDescent="0.25">
      <c r="A77" s="163" t="s">
        <v>330</v>
      </c>
      <c r="B77" s="163"/>
      <c r="C77" s="163"/>
      <c r="D77" s="163"/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86">
        <v>0</v>
      </c>
      <c r="P77" s="187"/>
    </row>
    <row r="78" spans="1:16" x14ac:dyDescent="0.25">
      <c r="A78" s="6" t="s">
        <v>331</v>
      </c>
      <c r="B78" s="173" t="s">
        <v>332</v>
      </c>
      <c r="C78" s="174"/>
      <c r="D78" s="174"/>
      <c r="E78" s="174"/>
      <c r="F78" s="174"/>
      <c r="G78" s="174"/>
      <c r="H78" s="174"/>
      <c r="I78" s="174"/>
      <c r="J78" s="174"/>
      <c r="K78" s="174"/>
      <c r="L78" s="174"/>
      <c r="M78" s="174"/>
      <c r="N78" s="174"/>
      <c r="O78" s="174"/>
      <c r="P78" s="174"/>
    </row>
    <row r="79" spans="1:16" x14ac:dyDescent="0.25">
      <c r="A79" s="15" t="s">
        <v>333</v>
      </c>
      <c r="B79" s="16" t="s">
        <v>334</v>
      </c>
      <c r="C79" s="15"/>
      <c r="D79" s="15"/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f>H79+'Stampa rendiconto PI - USC '!H79</f>
        <v>0</v>
      </c>
      <c r="L79" s="17">
        <v>0</v>
      </c>
      <c r="M79" s="17">
        <v>0</v>
      </c>
      <c r="N79" s="17">
        <v>0</v>
      </c>
      <c r="O79" s="184">
        <v>0</v>
      </c>
      <c r="P79" s="185"/>
    </row>
    <row r="80" spans="1:16" x14ac:dyDescent="0.25">
      <c r="A80" s="163" t="s">
        <v>335</v>
      </c>
      <c r="B80" s="163"/>
      <c r="C80" s="163"/>
      <c r="D80" s="163"/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86">
        <v>0</v>
      </c>
      <c r="P80" s="187"/>
    </row>
    <row r="81" spans="1:16" x14ac:dyDescent="0.25">
      <c r="A81" s="6" t="s">
        <v>336</v>
      </c>
      <c r="B81" s="173" t="s">
        <v>337</v>
      </c>
      <c r="C81" s="174"/>
      <c r="D81" s="174"/>
      <c r="E81" s="174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</row>
    <row r="82" spans="1:16" x14ac:dyDescent="0.25">
      <c r="A82" s="15" t="s">
        <v>338</v>
      </c>
      <c r="B82" s="16" t="s">
        <v>339</v>
      </c>
      <c r="C82" s="15"/>
      <c r="D82" s="15"/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f>H82+'Stampa rendiconto PI - USC '!H82</f>
        <v>0</v>
      </c>
      <c r="L82" s="17">
        <v>0</v>
      </c>
      <c r="M82" s="17">
        <v>0</v>
      </c>
      <c r="N82" s="17">
        <v>0</v>
      </c>
      <c r="O82" s="184">
        <v>0</v>
      </c>
      <c r="P82" s="185"/>
    </row>
    <row r="83" spans="1:16" x14ac:dyDescent="0.25">
      <c r="A83" s="163" t="s">
        <v>340</v>
      </c>
      <c r="B83" s="163"/>
      <c r="C83" s="163"/>
      <c r="D83" s="163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86">
        <v>0</v>
      </c>
      <c r="P83" s="187"/>
    </row>
    <row r="84" spans="1:16" x14ac:dyDescent="0.25">
      <c r="A84" s="196" t="s">
        <v>341</v>
      </c>
      <c r="B84" s="196"/>
      <c r="C84" s="196"/>
      <c r="D84" s="196"/>
      <c r="E84" s="13">
        <f>E83+E80+E77+E74+E71+E65+E62+E59+E56+E51+E44+E24+E13</f>
        <v>2567169</v>
      </c>
      <c r="F84" s="13">
        <f t="shared" ref="F84:I84" si="39">F83+F80+F77+F74+F71+F65+F62+F59+F56+F51+F44+F24+F13</f>
        <v>2122559</v>
      </c>
      <c r="G84" s="13">
        <f t="shared" si="39"/>
        <v>442837</v>
      </c>
      <c r="H84" s="13">
        <f t="shared" si="39"/>
        <v>2565396</v>
      </c>
      <c r="I84" s="13">
        <f t="shared" si="39"/>
        <v>0</v>
      </c>
      <c r="J84" s="13">
        <f>J83+J80+J77+J74+J71+J65+J62+J59+J56+J51+J44+J24+J13</f>
        <v>1773</v>
      </c>
      <c r="K84" s="13">
        <f t="shared" ref="K84" si="40">K83+K80+K77+K74+K71+K65+K62+K59+K56+K51+K44+K24+K13</f>
        <v>19871650</v>
      </c>
      <c r="L84" s="13">
        <f t="shared" ref="L84" si="41">L83+L80+L77+L74+L71+L65+L62+L59+L56+L51+L44+L24+L13</f>
        <v>13459980</v>
      </c>
      <c r="M84" s="13">
        <f t="shared" ref="M84" si="42">M83+M80+M77+M74+M71+M65+M62+M59+M56+M51+M44+M24+M13</f>
        <v>0</v>
      </c>
      <c r="N84" s="13">
        <f t="shared" ref="N84" si="43">N83+N80+N77+N74+N71+N65+N62+N59+N56+N51+N44+N24+N13</f>
        <v>6411670</v>
      </c>
      <c r="O84" s="197">
        <f t="shared" ref="O84" si="44">O83+O80+O77+O74+O71+O65+O62+O59+O56+O51+O44+O24+O13</f>
        <v>4016368</v>
      </c>
      <c r="P84" s="198">
        <f t="shared" ref="P84" si="45">P83+P80+P77+P74+P71+P65+P62+P59+P56+P51+P44+P24+P13</f>
        <v>0</v>
      </c>
    </row>
    <row r="85" spans="1:16" x14ac:dyDescent="0.25">
      <c r="A85" s="5" t="s">
        <v>342</v>
      </c>
      <c r="B85" s="190" t="s">
        <v>343</v>
      </c>
      <c r="C85" s="191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91"/>
    </row>
    <row r="86" spans="1:16" x14ac:dyDescent="0.25">
      <c r="A86" s="6" t="s">
        <v>344</v>
      </c>
      <c r="B86" s="173" t="s">
        <v>345</v>
      </c>
      <c r="C86" s="174"/>
      <c r="D86" s="174"/>
      <c r="E86" s="174"/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4"/>
    </row>
    <row r="87" spans="1:16" ht="25.5" x14ac:dyDescent="0.25">
      <c r="A87" s="15" t="s">
        <v>346</v>
      </c>
      <c r="B87" s="16" t="s">
        <v>347</v>
      </c>
      <c r="C87" s="15"/>
      <c r="D87" s="15"/>
      <c r="E87" s="17">
        <v>51091251</v>
      </c>
      <c r="F87" s="17">
        <f>ROUND(11919921.61,0)</f>
        <v>11919922</v>
      </c>
      <c r="G87" s="17">
        <f t="shared" ref="G87:G90" si="46">H87-F87</f>
        <v>39171329</v>
      </c>
      <c r="H87" s="17">
        <f>E87-J87</f>
        <v>51091251</v>
      </c>
      <c r="I87" s="17">
        <v>0</v>
      </c>
      <c r="J87" s="17">
        <v>0</v>
      </c>
      <c r="K87" s="73">
        <v>89875000</v>
      </c>
      <c r="L87" s="17">
        <f>F87+'Stampa rendiconto PI - USC '!I87</f>
        <v>26782414</v>
      </c>
      <c r="M87" s="17">
        <v>0</v>
      </c>
      <c r="N87" s="73">
        <f>K87-L87</f>
        <v>63092586</v>
      </c>
      <c r="O87" s="184">
        <f>G87+'Stampa rendiconto PI - USC '!J87</f>
        <v>111228266</v>
      </c>
      <c r="P87" s="185"/>
    </row>
    <row r="88" spans="1:16" ht="38.25" x14ac:dyDescent="0.25">
      <c r="A88" s="15" t="s">
        <v>348</v>
      </c>
      <c r="B88" s="16" t="s">
        <v>349</v>
      </c>
      <c r="C88" s="15"/>
      <c r="D88" s="15"/>
      <c r="E88" s="17">
        <v>0</v>
      </c>
      <c r="F88" s="17">
        <v>0</v>
      </c>
      <c r="G88" s="17">
        <f t="shared" si="46"/>
        <v>0</v>
      </c>
      <c r="H88" s="17">
        <f t="shared" ref="H88:H90" si="47">E88</f>
        <v>0</v>
      </c>
      <c r="I88" s="17">
        <v>0</v>
      </c>
      <c r="J88" s="17">
        <v>0</v>
      </c>
      <c r="K88" s="17">
        <f>H88+'Stampa rendiconto PI - USC '!H88</f>
        <v>1000000</v>
      </c>
      <c r="L88" s="17">
        <f>F88+'Stampa rendiconto PI - USC '!I88</f>
        <v>0</v>
      </c>
      <c r="M88" s="17">
        <v>0</v>
      </c>
      <c r="N88" s="17">
        <f t="shared" ref="N88:N90" si="48">K88-L88</f>
        <v>1000000</v>
      </c>
      <c r="O88" s="192">
        <f>G88+'Stampa rendiconto PI - USC '!J88</f>
        <v>0</v>
      </c>
      <c r="P88" s="193"/>
    </row>
    <row r="89" spans="1:16" ht="25.5" x14ac:dyDescent="0.25">
      <c r="A89" s="15" t="s">
        <v>350</v>
      </c>
      <c r="B89" s="16" t="s">
        <v>351</v>
      </c>
      <c r="C89" s="15"/>
      <c r="D89" s="15"/>
      <c r="E89" s="17">
        <v>2267628</v>
      </c>
      <c r="F89" s="17">
        <f>ROUND(1914926.51,0)</f>
        <v>1914927</v>
      </c>
      <c r="G89" s="17">
        <f t="shared" si="46"/>
        <v>279764</v>
      </c>
      <c r="H89" s="17">
        <f>E89-J89</f>
        <v>2194691</v>
      </c>
      <c r="I89" s="17">
        <v>0</v>
      </c>
      <c r="J89" s="17">
        <f>72937</f>
        <v>72937</v>
      </c>
      <c r="K89" s="17">
        <f>H89+'Stampa rendiconto PI - USC '!H89</f>
        <v>3934691</v>
      </c>
      <c r="L89" s="17">
        <f>F89+'Stampa rendiconto PI - USC '!I89</f>
        <v>1956633</v>
      </c>
      <c r="M89" s="17">
        <v>0</v>
      </c>
      <c r="N89" s="17">
        <f t="shared" si="48"/>
        <v>1978058</v>
      </c>
      <c r="O89" s="192">
        <f>G89+'Stampa rendiconto PI - USC '!J89</f>
        <v>289185</v>
      </c>
      <c r="P89" s="193"/>
    </row>
    <row r="90" spans="1:16" ht="25.5" x14ac:dyDescent="0.25">
      <c r="A90" s="15" t="s">
        <v>352</v>
      </c>
      <c r="B90" s="16" t="s">
        <v>353</v>
      </c>
      <c r="C90" s="15"/>
      <c r="D90" s="15"/>
      <c r="E90" s="17">
        <v>0</v>
      </c>
      <c r="F90" s="17">
        <v>0</v>
      </c>
      <c r="G90" s="17">
        <f t="shared" si="46"/>
        <v>0</v>
      </c>
      <c r="H90" s="17">
        <f t="shared" si="47"/>
        <v>0</v>
      </c>
      <c r="I90" s="17">
        <v>0</v>
      </c>
      <c r="J90" s="17">
        <v>0</v>
      </c>
      <c r="K90" s="17">
        <f>H90+'Stampa rendiconto PI - USC '!H90</f>
        <v>0</v>
      </c>
      <c r="L90" s="17">
        <f>F90+'Stampa rendiconto PI - USC '!I90</f>
        <v>0</v>
      </c>
      <c r="M90" s="17">
        <v>0</v>
      </c>
      <c r="N90" s="17">
        <f t="shared" si="48"/>
        <v>0</v>
      </c>
      <c r="O90" s="192">
        <f>G90+'Stampa rendiconto PI - USC '!J90</f>
        <v>0</v>
      </c>
      <c r="P90" s="193"/>
    </row>
    <row r="91" spans="1:16" x14ac:dyDescent="0.25">
      <c r="A91" s="163" t="s">
        <v>354</v>
      </c>
      <c r="B91" s="163"/>
      <c r="C91" s="163"/>
      <c r="D91" s="163"/>
      <c r="E91" s="11">
        <f>SUM(E87:E90)</f>
        <v>53358879</v>
      </c>
      <c r="F91" s="11">
        <f t="shared" ref="F91:J91" si="49">SUM(F87:F90)</f>
        <v>13834849</v>
      </c>
      <c r="G91" s="11">
        <f t="shared" si="49"/>
        <v>39451093</v>
      </c>
      <c r="H91" s="11">
        <f t="shared" si="49"/>
        <v>53285942</v>
      </c>
      <c r="I91" s="11">
        <f t="shared" si="49"/>
        <v>0</v>
      </c>
      <c r="J91" s="11">
        <f t="shared" si="49"/>
        <v>72937</v>
      </c>
      <c r="K91" s="11">
        <f>SUM(K87:K90)</f>
        <v>94809691</v>
      </c>
      <c r="L91" s="11">
        <f>SUM(L87:L90)</f>
        <v>28739047</v>
      </c>
      <c r="M91" s="11">
        <v>0</v>
      </c>
      <c r="N91" s="11">
        <f>SUM(N87:N90)</f>
        <v>66070644</v>
      </c>
      <c r="O91" s="186">
        <f>SUM(O87:P90)</f>
        <v>111517451</v>
      </c>
      <c r="P91" s="187"/>
    </row>
    <row r="92" spans="1:16" x14ac:dyDescent="0.25">
      <c r="A92" s="6" t="s">
        <v>355</v>
      </c>
      <c r="B92" s="173" t="s">
        <v>356</v>
      </c>
      <c r="C92" s="174"/>
      <c r="D92" s="174"/>
      <c r="E92" s="174"/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4"/>
    </row>
    <row r="93" spans="1:16" x14ac:dyDescent="0.25">
      <c r="A93" s="15" t="s">
        <v>357</v>
      </c>
      <c r="B93" s="16" t="s">
        <v>358</v>
      </c>
      <c r="C93" s="15"/>
      <c r="D93" s="15"/>
      <c r="E93" s="17">
        <v>332680</v>
      </c>
      <c r="F93" s="17">
        <f>ROUND(315820.18,0)</f>
        <v>315820</v>
      </c>
      <c r="G93" s="17">
        <f t="shared" ref="G93:G97" si="50">H93-F93</f>
        <v>16860</v>
      </c>
      <c r="H93" s="17">
        <f t="shared" ref="H93:H95" si="51">E93</f>
        <v>332680</v>
      </c>
      <c r="I93" s="17">
        <v>0</v>
      </c>
      <c r="J93" s="17">
        <v>0</v>
      </c>
      <c r="K93" s="17">
        <f>H93+'Stampa rendiconto PI - USC '!H93</f>
        <v>582680</v>
      </c>
      <c r="L93" s="17">
        <f>F93+'Stampa rendiconto PI - USC '!I93</f>
        <v>419719</v>
      </c>
      <c r="M93" s="17">
        <v>0</v>
      </c>
      <c r="N93" s="17">
        <f t="shared" ref="N93:N97" si="52">K93-L93</f>
        <v>162961</v>
      </c>
      <c r="O93" s="184">
        <f>G93+'Stampa rendiconto PI - USC '!J93</f>
        <v>16870</v>
      </c>
      <c r="P93" s="185"/>
    </row>
    <row r="94" spans="1:16" ht="25.5" x14ac:dyDescent="0.25">
      <c r="A94" s="15" t="s">
        <v>359</v>
      </c>
      <c r="B94" s="16" t="s">
        <v>360</v>
      </c>
      <c r="C94" s="15"/>
      <c r="D94" s="15"/>
      <c r="E94" s="17">
        <v>0</v>
      </c>
      <c r="F94" s="17">
        <v>0</v>
      </c>
      <c r="G94" s="17">
        <f t="shared" si="50"/>
        <v>0</v>
      </c>
      <c r="H94" s="17">
        <f t="shared" si="51"/>
        <v>0</v>
      </c>
      <c r="I94" s="17">
        <v>0</v>
      </c>
      <c r="J94" s="17">
        <v>0</v>
      </c>
      <c r="K94" s="17">
        <f>H94+'Stampa rendiconto PI - USC '!H94</f>
        <v>0</v>
      </c>
      <c r="L94" s="17">
        <f>F94+'Stampa rendiconto PI - USC '!I94</f>
        <v>0</v>
      </c>
      <c r="M94" s="17">
        <v>0</v>
      </c>
      <c r="N94" s="17">
        <f t="shared" si="52"/>
        <v>0</v>
      </c>
      <c r="O94" s="192">
        <f>G94+'Stampa rendiconto PI - USC '!J94</f>
        <v>0</v>
      </c>
      <c r="P94" s="193"/>
    </row>
    <row r="95" spans="1:16" ht="25.5" x14ac:dyDescent="0.25">
      <c r="A95" s="15" t="s">
        <v>361</v>
      </c>
      <c r="B95" s="16" t="s">
        <v>362</v>
      </c>
      <c r="C95" s="15"/>
      <c r="D95" s="15"/>
      <c r="E95" s="17">
        <v>0</v>
      </c>
      <c r="F95" s="17">
        <v>0</v>
      </c>
      <c r="G95" s="17">
        <f t="shared" si="50"/>
        <v>0</v>
      </c>
      <c r="H95" s="17">
        <f t="shared" si="51"/>
        <v>0</v>
      </c>
      <c r="I95" s="17">
        <v>0</v>
      </c>
      <c r="J95" s="17">
        <v>0</v>
      </c>
      <c r="K95" s="17">
        <f>H95+'Stampa rendiconto PI - USC '!H95</f>
        <v>0</v>
      </c>
      <c r="L95" s="17">
        <f>F95+'Stampa rendiconto PI - USC '!I95</f>
        <v>0</v>
      </c>
      <c r="M95" s="17">
        <v>0</v>
      </c>
      <c r="N95" s="17">
        <f t="shared" si="52"/>
        <v>0</v>
      </c>
      <c r="O95" s="192">
        <f>G95+'Stampa rendiconto PI - USC '!J95</f>
        <v>0</v>
      </c>
      <c r="P95" s="193"/>
    </row>
    <row r="96" spans="1:16" x14ac:dyDescent="0.25">
      <c r="A96" s="15" t="s">
        <v>363</v>
      </c>
      <c r="B96" s="16" t="s">
        <v>364</v>
      </c>
      <c r="C96" s="15"/>
      <c r="D96" s="15"/>
      <c r="E96" s="17">
        <v>470594</v>
      </c>
      <c r="F96" s="17">
        <f>ROUND(398814.46,0)</f>
        <v>398814</v>
      </c>
      <c r="G96" s="17">
        <f t="shared" si="50"/>
        <v>605</v>
      </c>
      <c r="H96" s="17">
        <f>E96-J96</f>
        <v>399419</v>
      </c>
      <c r="I96" s="17">
        <v>0</v>
      </c>
      <c r="J96" s="17">
        <v>71175</v>
      </c>
      <c r="K96" s="17">
        <f>H96+'Stampa rendiconto PI - USC '!H96</f>
        <v>4539919</v>
      </c>
      <c r="L96" s="17">
        <f>F96+'Stampa rendiconto PI - USC '!I96</f>
        <v>2173381</v>
      </c>
      <c r="M96" s="17">
        <v>0</v>
      </c>
      <c r="N96" s="17">
        <f t="shared" si="52"/>
        <v>2366538</v>
      </c>
      <c r="O96" s="192">
        <f>G96+'Stampa rendiconto PI - USC '!J96</f>
        <v>1504032</v>
      </c>
      <c r="P96" s="193"/>
    </row>
    <row r="97" spans="1:16" x14ac:dyDescent="0.25">
      <c r="A97" s="15" t="s">
        <v>365</v>
      </c>
      <c r="B97" s="16" t="s">
        <v>366</v>
      </c>
      <c r="C97" s="15"/>
      <c r="D97" s="15"/>
      <c r="E97" s="17">
        <v>18677</v>
      </c>
      <c r="F97" s="17">
        <f>ROUND(5.59,0)</f>
        <v>6</v>
      </c>
      <c r="G97" s="17">
        <f t="shared" si="50"/>
        <v>18671</v>
      </c>
      <c r="H97" s="17">
        <f>E97-J97</f>
        <v>18677</v>
      </c>
      <c r="I97" s="17">
        <v>0</v>
      </c>
      <c r="J97" s="17">
        <v>0</v>
      </c>
      <c r="K97" s="17">
        <f>H97+'Stampa rendiconto PI - USC '!H97</f>
        <v>318677</v>
      </c>
      <c r="L97" s="17">
        <f>F97+'Stampa rendiconto PI - USC '!I97</f>
        <v>1155</v>
      </c>
      <c r="M97" s="17">
        <v>0</v>
      </c>
      <c r="N97" s="17">
        <f t="shared" si="52"/>
        <v>317522</v>
      </c>
      <c r="O97" s="192">
        <f>G97+'Stampa rendiconto PI - USC '!J97</f>
        <v>18671</v>
      </c>
      <c r="P97" s="193"/>
    </row>
    <row r="98" spans="1:16" x14ac:dyDescent="0.25">
      <c r="A98" s="163" t="s">
        <v>367</v>
      </c>
      <c r="B98" s="163"/>
      <c r="C98" s="163"/>
      <c r="D98" s="163"/>
      <c r="E98" s="11">
        <f>SUM(E93:E97)</f>
        <v>821951</v>
      </c>
      <c r="F98" s="11">
        <f t="shared" ref="F98:G98" si="53">SUM(F93:F97)</f>
        <v>714640</v>
      </c>
      <c r="G98" s="11">
        <f t="shared" si="53"/>
        <v>36136</v>
      </c>
      <c r="H98" s="11">
        <f>SUM(H93:H97)</f>
        <v>750776</v>
      </c>
      <c r="I98" s="11">
        <v>0</v>
      </c>
      <c r="J98" s="11">
        <f>SUM(J93:J97)</f>
        <v>71175</v>
      </c>
      <c r="K98" s="11">
        <f>SUM(K93:K97)</f>
        <v>5441276</v>
      </c>
      <c r="L98" s="11">
        <f>SUM(L93:L97)</f>
        <v>2594255</v>
      </c>
      <c r="M98" s="11">
        <v>0</v>
      </c>
      <c r="N98" s="11">
        <f>SUM(N93:N97)</f>
        <v>2847021</v>
      </c>
      <c r="O98" s="186">
        <f>SUM(O93:P97)</f>
        <v>1539573</v>
      </c>
      <c r="P98" s="187"/>
    </row>
    <row r="99" spans="1:16" x14ac:dyDescent="0.25">
      <c r="A99" s="6" t="s">
        <v>368</v>
      </c>
      <c r="B99" s="173" t="s">
        <v>369</v>
      </c>
      <c r="C99" s="174"/>
      <c r="D99" s="174"/>
      <c r="E99" s="174"/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174"/>
    </row>
    <row r="100" spans="1:16" ht="25.5" x14ac:dyDescent="0.25">
      <c r="A100" s="15" t="s">
        <v>370</v>
      </c>
      <c r="B100" s="16" t="s">
        <v>371</v>
      </c>
      <c r="C100" s="15"/>
      <c r="D100" s="15"/>
      <c r="E100" s="17">
        <v>0</v>
      </c>
      <c r="F100" s="17">
        <v>0</v>
      </c>
      <c r="G100" s="17">
        <f t="shared" ref="G100:G101" si="54">H100-F100</f>
        <v>0</v>
      </c>
      <c r="H100" s="17">
        <f t="shared" ref="H100" si="55">E100</f>
        <v>0</v>
      </c>
      <c r="I100" s="17">
        <v>0</v>
      </c>
      <c r="J100" s="17">
        <v>0</v>
      </c>
      <c r="K100" s="17">
        <f>H100+'Stampa rendiconto PI - USC '!H100</f>
        <v>47500</v>
      </c>
      <c r="L100" s="17">
        <f>F100+'Stampa rendiconto PI - USC '!I100</f>
        <v>0</v>
      </c>
      <c r="M100" s="17">
        <v>0</v>
      </c>
      <c r="N100" s="17">
        <f t="shared" ref="N100:N101" si="56">K100-L100</f>
        <v>47500</v>
      </c>
      <c r="O100" s="184">
        <f>G100+'Stampa rendiconto PI - USC '!J100</f>
        <v>0</v>
      </c>
      <c r="P100" s="185"/>
    </row>
    <row r="101" spans="1:16" ht="25.5" x14ac:dyDescent="0.25">
      <c r="A101" s="15" t="s">
        <v>372</v>
      </c>
      <c r="B101" s="16" t="s">
        <v>373</v>
      </c>
      <c r="C101" s="15"/>
      <c r="D101" s="15"/>
      <c r="E101" s="17">
        <v>3700453</v>
      </c>
      <c r="F101" s="17">
        <f>ROUND(72851.53,0)</f>
        <v>72852</v>
      </c>
      <c r="G101" s="17">
        <f t="shared" si="54"/>
        <v>260651</v>
      </c>
      <c r="H101" s="17">
        <f>E101-J101</f>
        <v>333503</v>
      </c>
      <c r="I101" s="17">
        <v>0</v>
      </c>
      <c r="J101" s="17">
        <v>3366950</v>
      </c>
      <c r="K101" s="17">
        <f>H101+'Stampa rendiconto PI - USC '!H101</f>
        <v>753503</v>
      </c>
      <c r="L101" s="17">
        <f>F101+'Stampa rendiconto PI - USC '!I101</f>
        <v>134002</v>
      </c>
      <c r="M101" s="17">
        <v>0</v>
      </c>
      <c r="N101" s="17">
        <f t="shared" si="56"/>
        <v>619501</v>
      </c>
      <c r="O101" s="192">
        <f>G101+'Stampa rendiconto PI - USC '!J101</f>
        <v>260653</v>
      </c>
      <c r="P101" s="193"/>
    </row>
    <row r="102" spans="1:16" x14ac:dyDescent="0.25">
      <c r="A102" s="163" t="s">
        <v>374</v>
      </c>
      <c r="B102" s="163"/>
      <c r="C102" s="163"/>
      <c r="D102" s="163"/>
      <c r="E102" s="11">
        <f>SUM(E100:E101)</f>
        <v>3700453</v>
      </c>
      <c r="F102" s="11">
        <f t="shared" ref="F102:J102" si="57">SUM(F100:F101)</f>
        <v>72852</v>
      </c>
      <c r="G102" s="11">
        <f t="shared" si="57"/>
        <v>260651</v>
      </c>
      <c r="H102" s="11">
        <f t="shared" si="57"/>
        <v>333503</v>
      </c>
      <c r="I102" s="11">
        <f t="shared" si="57"/>
        <v>0</v>
      </c>
      <c r="J102" s="11">
        <f t="shared" si="57"/>
        <v>3366950</v>
      </c>
      <c r="K102" s="11">
        <f>SUM(K100:K101)</f>
        <v>801003</v>
      </c>
      <c r="L102" s="11">
        <f>SUM(L100:L101)</f>
        <v>134002</v>
      </c>
      <c r="M102" s="11">
        <v>0</v>
      </c>
      <c r="N102" s="11">
        <f>SUM(N100:N101)</f>
        <v>667001</v>
      </c>
      <c r="O102" s="186">
        <f>SUM(O100:P101)</f>
        <v>260653</v>
      </c>
      <c r="P102" s="187"/>
    </row>
    <row r="103" spans="1:16" x14ac:dyDescent="0.25">
      <c r="A103" s="6" t="s">
        <v>375</v>
      </c>
      <c r="B103" s="173" t="s">
        <v>376</v>
      </c>
      <c r="C103" s="174"/>
      <c r="D103" s="174"/>
      <c r="E103" s="174"/>
      <c r="F103" s="174"/>
      <c r="G103" s="174"/>
      <c r="H103" s="174"/>
      <c r="I103" s="174"/>
      <c r="J103" s="174"/>
      <c r="K103" s="174"/>
      <c r="L103" s="174"/>
      <c r="M103" s="174"/>
      <c r="N103" s="174"/>
      <c r="O103" s="174"/>
      <c r="P103" s="174"/>
    </row>
    <row r="104" spans="1:16" ht="25.5" x14ac:dyDescent="0.25">
      <c r="A104" s="15" t="s">
        <v>377</v>
      </c>
      <c r="B104" s="16" t="s">
        <v>378</v>
      </c>
      <c r="C104" s="15"/>
      <c r="D104" s="15"/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f>H104+'Stampa rendiconto PI - USC '!H104</f>
        <v>0</v>
      </c>
      <c r="L104" s="17">
        <f>F104+'Stampa rendiconto PI - USC '!I104</f>
        <v>0</v>
      </c>
      <c r="M104" s="17">
        <v>0</v>
      </c>
      <c r="N104" s="17">
        <v>0</v>
      </c>
      <c r="O104" s="184">
        <f>G104+'Stampa rendiconto PI - USC '!J104</f>
        <v>0</v>
      </c>
      <c r="P104" s="185"/>
    </row>
    <row r="105" spans="1:16" x14ac:dyDescent="0.25">
      <c r="A105" s="15" t="s">
        <v>379</v>
      </c>
      <c r="B105" s="16" t="s">
        <v>380</v>
      </c>
      <c r="C105" s="15"/>
      <c r="D105" s="15"/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f>H105+'Stampa rendiconto PI - USC '!H105</f>
        <v>3500</v>
      </c>
      <c r="L105" s="17">
        <f>F105+'Stampa rendiconto PI - USC '!I105</f>
        <v>3500</v>
      </c>
      <c r="M105" s="17">
        <v>0</v>
      </c>
      <c r="N105" s="17">
        <v>0</v>
      </c>
      <c r="O105" s="192">
        <f>G105+'Stampa rendiconto PI - USC '!J105</f>
        <v>0</v>
      </c>
      <c r="P105" s="193"/>
    </row>
    <row r="106" spans="1:16" x14ac:dyDescent="0.25">
      <c r="A106" s="15" t="s">
        <v>381</v>
      </c>
      <c r="B106" s="16" t="s">
        <v>382</v>
      </c>
      <c r="C106" s="15"/>
      <c r="D106" s="15"/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f>H106+'Stampa rendiconto PI - USC '!H106</f>
        <v>0</v>
      </c>
      <c r="L106" s="17">
        <f>F106+'Stampa rendiconto PI - USC '!I106</f>
        <v>0</v>
      </c>
      <c r="M106" s="17">
        <v>0</v>
      </c>
      <c r="N106" s="17">
        <v>0</v>
      </c>
      <c r="O106" s="192">
        <f>G106+'Stampa rendiconto PI - USC '!J106</f>
        <v>0</v>
      </c>
      <c r="P106" s="193"/>
    </row>
    <row r="107" spans="1:16" x14ac:dyDescent="0.25">
      <c r="A107" s="163" t="s">
        <v>383</v>
      </c>
      <c r="B107" s="163"/>
      <c r="C107" s="163"/>
      <c r="D107" s="163"/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f>SUM(K104:K106)</f>
        <v>3500</v>
      </c>
      <c r="L107" s="11">
        <f>SUM(L104:L106)</f>
        <v>3500</v>
      </c>
      <c r="M107" s="11">
        <v>0</v>
      </c>
      <c r="N107" s="11">
        <v>0</v>
      </c>
      <c r="O107" s="186">
        <f>G107+'Stampa rendiconto PI - USC '!J107</f>
        <v>0</v>
      </c>
      <c r="P107" s="187"/>
    </row>
    <row r="108" spans="1:16" x14ac:dyDescent="0.25">
      <c r="A108" s="6" t="s">
        <v>384</v>
      </c>
      <c r="B108" s="173" t="s">
        <v>385</v>
      </c>
      <c r="C108" s="174"/>
      <c r="D108" s="174"/>
      <c r="E108" s="174"/>
      <c r="F108" s="174"/>
      <c r="G108" s="174"/>
      <c r="H108" s="174"/>
      <c r="I108" s="174"/>
      <c r="J108" s="174"/>
      <c r="K108" s="174"/>
      <c r="L108" s="174"/>
      <c r="M108" s="174"/>
      <c r="N108" s="174"/>
      <c r="O108" s="174"/>
      <c r="P108" s="174"/>
    </row>
    <row r="109" spans="1:16" ht="25.5" x14ac:dyDescent="0.25">
      <c r="A109" s="15" t="s">
        <v>386</v>
      </c>
      <c r="B109" s="16" t="s">
        <v>387</v>
      </c>
      <c r="C109" s="15"/>
      <c r="D109" s="15"/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84">
        <v>0</v>
      </c>
      <c r="P109" s="185"/>
    </row>
    <row r="110" spans="1:16" ht="38.25" x14ac:dyDescent="0.25">
      <c r="A110" s="15" t="s">
        <v>388</v>
      </c>
      <c r="B110" s="16" t="s">
        <v>389</v>
      </c>
      <c r="C110" s="15"/>
      <c r="D110" s="15"/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92">
        <v>0</v>
      </c>
      <c r="P110" s="193"/>
    </row>
    <row r="111" spans="1:16" x14ac:dyDescent="0.25">
      <c r="A111" s="15" t="s">
        <v>390</v>
      </c>
      <c r="B111" s="16" t="s">
        <v>391</v>
      </c>
      <c r="C111" s="15"/>
      <c r="D111" s="15"/>
      <c r="E111" s="17">
        <v>10948</v>
      </c>
      <c r="F111" s="17">
        <f>E111</f>
        <v>10948</v>
      </c>
      <c r="G111" s="17">
        <v>0</v>
      </c>
      <c r="H111" s="17">
        <f>E111</f>
        <v>10948</v>
      </c>
      <c r="I111" s="17">
        <v>0</v>
      </c>
      <c r="J111" s="17">
        <v>0</v>
      </c>
      <c r="K111" s="17">
        <f>H111+'Stampa rendiconto PI - USC '!H111</f>
        <v>279948</v>
      </c>
      <c r="L111" s="17">
        <f>F111+'Stampa rendiconto PI - USC '!I111</f>
        <v>255465</v>
      </c>
      <c r="M111" s="17">
        <v>0</v>
      </c>
      <c r="N111" s="17">
        <f>K111-L111</f>
        <v>24483</v>
      </c>
      <c r="O111" s="192">
        <f>G111+'Stampa rendiconto PI - USC '!J111</f>
        <v>19928</v>
      </c>
      <c r="P111" s="193"/>
    </row>
    <row r="112" spans="1:16" x14ac:dyDescent="0.25">
      <c r="A112" s="163" t="s">
        <v>392</v>
      </c>
      <c r="B112" s="163"/>
      <c r="C112" s="163"/>
      <c r="D112" s="163"/>
      <c r="E112" s="11">
        <f>SUM(E109:E111)</f>
        <v>10948</v>
      </c>
      <c r="F112" s="11">
        <f>SUM(F109:F111)</f>
        <v>10948</v>
      </c>
      <c r="G112" s="11">
        <v>0</v>
      </c>
      <c r="H112" s="11">
        <f>SUM(H109:H111)</f>
        <v>10948</v>
      </c>
      <c r="I112" s="11">
        <v>0</v>
      </c>
      <c r="J112" s="11">
        <v>0</v>
      </c>
      <c r="K112" s="11">
        <f>SUM(K109:K111)</f>
        <v>279948</v>
      </c>
      <c r="L112" s="11">
        <f>SUM(L109:L111)</f>
        <v>255465</v>
      </c>
      <c r="M112" s="11">
        <v>0</v>
      </c>
      <c r="N112" s="11">
        <f>SUM(N109:N111)</f>
        <v>24483</v>
      </c>
      <c r="O112" s="186">
        <f>SUM(O109:P111)</f>
        <v>19928</v>
      </c>
      <c r="P112" s="187"/>
    </row>
    <row r="113" spans="1:16" x14ac:dyDescent="0.25">
      <c r="A113" s="6" t="s">
        <v>393</v>
      </c>
      <c r="B113" s="173" t="s">
        <v>394</v>
      </c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</row>
    <row r="114" spans="1:16" x14ac:dyDescent="0.25">
      <c r="A114" s="15" t="s">
        <v>395</v>
      </c>
      <c r="B114" s="16" t="s">
        <v>396</v>
      </c>
      <c r="C114" s="15"/>
      <c r="D114" s="15"/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84">
        <v>0</v>
      </c>
      <c r="P114" s="185"/>
    </row>
    <row r="115" spans="1:16" x14ac:dyDescent="0.25">
      <c r="A115" s="15" t="s">
        <v>397</v>
      </c>
      <c r="B115" s="16" t="s">
        <v>398</v>
      </c>
      <c r="C115" s="15"/>
      <c r="D115" s="15"/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92">
        <v>0</v>
      </c>
      <c r="P115" s="193"/>
    </row>
    <row r="116" spans="1:16" x14ac:dyDescent="0.25">
      <c r="A116" s="163" t="s">
        <v>399</v>
      </c>
      <c r="B116" s="163"/>
      <c r="C116" s="163"/>
      <c r="D116" s="163"/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86">
        <v>0</v>
      </c>
      <c r="P116" s="187"/>
    </row>
    <row r="117" spans="1:16" x14ac:dyDescent="0.25">
      <c r="A117" s="6" t="s">
        <v>400</v>
      </c>
      <c r="B117" s="173" t="s">
        <v>401</v>
      </c>
      <c r="C117" s="174"/>
      <c r="D117" s="174"/>
      <c r="E117" s="174"/>
      <c r="F117" s="174"/>
      <c r="G117" s="174"/>
      <c r="H117" s="174"/>
      <c r="I117" s="174"/>
      <c r="J117" s="174"/>
      <c r="K117" s="174"/>
      <c r="L117" s="174"/>
      <c r="M117" s="174"/>
      <c r="N117" s="174"/>
      <c r="O117" s="174"/>
      <c r="P117" s="174"/>
    </row>
    <row r="118" spans="1:16" x14ac:dyDescent="0.25">
      <c r="A118" s="15" t="s">
        <v>402</v>
      </c>
      <c r="B118" s="16" t="s">
        <v>403</v>
      </c>
      <c r="C118" s="15"/>
      <c r="D118" s="15"/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84">
        <v>0</v>
      </c>
      <c r="P118" s="185"/>
    </row>
    <row r="119" spans="1:16" x14ac:dyDescent="0.25">
      <c r="A119" s="163" t="s">
        <v>404</v>
      </c>
      <c r="B119" s="163"/>
      <c r="C119" s="163"/>
      <c r="D119" s="163"/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86">
        <v>0</v>
      </c>
      <c r="P119" s="187"/>
    </row>
    <row r="120" spans="1:16" x14ac:dyDescent="0.25">
      <c r="A120" s="6" t="s">
        <v>405</v>
      </c>
      <c r="B120" s="173" t="s">
        <v>406</v>
      </c>
      <c r="C120" s="174"/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4"/>
    </row>
    <row r="121" spans="1:16" x14ac:dyDescent="0.25">
      <c r="A121" s="15" t="s">
        <v>407</v>
      </c>
      <c r="B121" s="16" t="s">
        <v>408</v>
      </c>
      <c r="C121" s="15"/>
      <c r="D121" s="15"/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84">
        <v>0</v>
      </c>
      <c r="P121" s="185"/>
    </row>
    <row r="122" spans="1:16" x14ac:dyDescent="0.25">
      <c r="A122" s="163" t="s">
        <v>409</v>
      </c>
      <c r="B122" s="163"/>
      <c r="C122" s="163"/>
      <c r="D122" s="163"/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86">
        <v>0</v>
      </c>
      <c r="P122" s="187"/>
    </row>
    <row r="123" spans="1:16" x14ac:dyDescent="0.25">
      <c r="A123" s="6" t="s">
        <v>410</v>
      </c>
      <c r="B123" s="173" t="s">
        <v>411</v>
      </c>
      <c r="C123" s="174"/>
      <c r="D123" s="174"/>
      <c r="E123" s="174"/>
      <c r="F123" s="174"/>
      <c r="G123" s="174"/>
      <c r="H123" s="174"/>
      <c r="I123" s="174"/>
      <c r="J123" s="174"/>
      <c r="K123" s="174"/>
      <c r="L123" s="174"/>
      <c r="M123" s="174"/>
      <c r="N123" s="174"/>
      <c r="O123" s="174"/>
      <c r="P123" s="174"/>
    </row>
    <row r="124" spans="1:16" x14ac:dyDescent="0.25">
      <c r="A124" s="15" t="s">
        <v>412</v>
      </c>
      <c r="B124" s="16" t="s">
        <v>413</v>
      </c>
      <c r="C124" s="15"/>
      <c r="D124" s="15"/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84">
        <v>0</v>
      </c>
      <c r="P124" s="185"/>
    </row>
    <row r="125" spans="1:16" x14ac:dyDescent="0.25">
      <c r="A125" s="163" t="s">
        <v>414</v>
      </c>
      <c r="B125" s="163"/>
      <c r="C125" s="163"/>
      <c r="D125" s="163"/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86">
        <v>0</v>
      </c>
      <c r="P125" s="187"/>
    </row>
    <row r="126" spans="1:16" x14ac:dyDescent="0.25">
      <c r="A126" s="6" t="s">
        <v>415</v>
      </c>
      <c r="B126" s="173" t="s">
        <v>416</v>
      </c>
      <c r="C126" s="174"/>
      <c r="D126" s="174"/>
      <c r="E126" s="174"/>
      <c r="F126" s="174"/>
      <c r="G126" s="174"/>
      <c r="H126" s="174"/>
      <c r="I126" s="174"/>
      <c r="J126" s="174"/>
      <c r="K126" s="174"/>
      <c r="L126" s="174"/>
      <c r="M126" s="174"/>
      <c r="N126" s="174"/>
      <c r="O126" s="174"/>
      <c r="P126" s="174"/>
    </row>
    <row r="127" spans="1:16" x14ac:dyDescent="0.25">
      <c r="A127" s="15" t="s">
        <v>417</v>
      </c>
      <c r="B127" s="16" t="s">
        <v>418</v>
      </c>
      <c r="C127" s="15"/>
      <c r="D127" s="15"/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84">
        <v>0</v>
      </c>
      <c r="P127" s="185"/>
    </row>
    <row r="128" spans="1:16" x14ac:dyDescent="0.25">
      <c r="A128" s="163" t="s">
        <v>419</v>
      </c>
      <c r="B128" s="163"/>
      <c r="C128" s="163"/>
      <c r="D128" s="163"/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86">
        <v>0</v>
      </c>
      <c r="P128" s="187"/>
    </row>
    <row r="129" spans="1:21" x14ac:dyDescent="0.25">
      <c r="A129" s="196" t="s">
        <v>420</v>
      </c>
      <c r="B129" s="196"/>
      <c r="C129" s="196"/>
      <c r="D129" s="196"/>
      <c r="E129" s="13">
        <f>E128+E125+E122+E119+E116+E112+E107+E102+E98+E91</f>
        <v>57892231</v>
      </c>
      <c r="F129" s="13">
        <f t="shared" ref="F129:N129" si="58">F128+F125+F122+F119+F116+F112+F107+F102+F98+F91</f>
        <v>14633289</v>
      </c>
      <c r="G129" s="13">
        <f t="shared" si="58"/>
        <v>39747880</v>
      </c>
      <c r="H129" s="13">
        <f t="shared" si="58"/>
        <v>54381169</v>
      </c>
      <c r="I129" s="13">
        <f t="shared" si="58"/>
        <v>0</v>
      </c>
      <c r="J129" s="13">
        <f t="shared" si="58"/>
        <v>3511062</v>
      </c>
      <c r="K129" s="83">
        <f t="shared" si="58"/>
        <v>101335418</v>
      </c>
      <c r="L129" s="13">
        <f t="shared" si="58"/>
        <v>31726269</v>
      </c>
      <c r="M129" s="13">
        <f t="shared" si="58"/>
        <v>0</v>
      </c>
      <c r="N129" s="13">
        <f t="shared" si="58"/>
        <v>69609149</v>
      </c>
      <c r="O129" s="197">
        <f t="shared" ref="O129" si="59">O128+O125+O122+O119+O116+O112+O107+O102+O98+O91</f>
        <v>113337605</v>
      </c>
      <c r="P129" s="198">
        <f t="shared" ref="P129" si="60">P128+P125+P122+P119+P116+P112+P107+P102+P98+P91</f>
        <v>0</v>
      </c>
    </row>
    <row r="130" spans="1:21" x14ac:dyDescent="0.25">
      <c r="A130" s="5" t="s">
        <v>421</v>
      </c>
      <c r="B130" s="190" t="s">
        <v>422</v>
      </c>
      <c r="C130" s="191"/>
      <c r="D130" s="191"/>
      <c r="E130" s="191"/>
      <c r="F130" s="191"/>
      <c r="G130" s="191"/>
      <c r="H130" s="191"/>
      <c r="I130" s="191"/>
      <c r="J130" s="191"/>
      <c r="K130" s="191"/>
      <c r="L130" s="191"/>
      <c r="M130" s="191"/>
      <c r="N130" s="191"/>
      <c r="O130" s="191"/>
      <c r="P130" s="191"/>
    </row>
    <row r="131" spans="1:21" x14ac:dyDescent="0.25">
      <c r="A131" s="6" t="s">
        <v>423</v>
      </c>
      <c r="B131" s="173" t="s">
        <v>424</v>
      </c>
      <c r="C131" s="174"/>
      <c r="D131" s="174"/>
      <c r="E131" s="174"/>
      <c r="F131" s="174"/>
      <c r="G131" s="174"/>
      <c r="H131" s="174"/>
      <c r="I131" s="174"/>
      <c r="J131" s="174"/>
      <c r="K131" s="174"/>
      <c r="L131" s="174"/>
      <c r="M131" s="174"/>
      <c r="N131" s="174"/>
      <c r="O131" s="174"/>
      <c r="P131" s="174"/>
    </row>
    <row r="132" spans="1:21" x14ac:dyDescent="0.25">
      <c r="A132" s="15" t="s">
        <v>425</v>
      </c>
      <c r="B132" s="16" t="s">
        <v>167</v>
      </c>
      <c r="C132" s="15"/>
      <c r="D132" s="15"/>
      <c r="E132" s="17">
        <v>158306</v>
      </c>
      <c r="F132" s="17">
        <f>ROUND(158305.99,0)</f>
        <v>158306</v>
      </c>
      <c r="G132" s="17">
        <f t="shared" ref="G132:G140" si="61">H132-F132</f>
        <v>0</v>
      </c>
      <c r="H132" s="17">
        <f>E132-J132</f>
        <v>158306</v>
      </c>
      <c r="I132" s="17">
        <v>0</v>
      </c>
      <c r="J132" s="17">
        <v>0</v>
      </c>
      <c r="K132" s="17">
        <f>H132+'Stampa rendiconto PI - USC '!H132</f>
        <v>1758306</v>
      </c>
      <c r="L132" s="17">
        <f>F132+'Stampa rendiconto PI - USC '!I132</f>
        <v>1501474</v>
      </c>
      <c r="M132" s="17">
        <v>0</v>
      </c>
      <c r="N132" s="17">
        <f t="shared" ref="N132:N140" si="62">K132-L132</f>
        <v>256832</v>
      </c>
      <c r="O132" s="184">
        <f>G132+'Stampa rendiconto PI - USC '!J132</f>
        <v>196488</v>
      </c>
      <c r="P132" s="185"/>
    </row>
    <row r="133" spans="1:21" x14ac:dyDescent="0.25">
      <c r="A133" s="15" t="s">
        <v>426</v>
      </c>
      <c r="B133" s="16" t="s">
        <v>169</v>
      </c>
      <c r="C133" s="15"/>
      <c r="D133" s="15"/>
      <c r="E133" s="17">
        <v>40579</v>
      </c>
      <c r="F133" s="17">
        <f>ROUND(37823.25,0)</f>
        <v>37823</v>
      </c>
      <c r="G133" s="17">
        <f t="shared" si="61"/>
        <v>2756</v>
      </c>
      <c r="H133" s="17">
        <f t="shared" ref="H133:H139" si="63">E133</f>
        <v>40579</v>
      </c>
      <c r="I133" s="17">
        <v>0</v>
      </c>
      <c r="J133" s="17">
        <v>0</v>
      </c>
      <c r="K133" s="17">
        <f>H133+'Stampa rendiconto PI - USC '!H133</f>
        <v>490579</v>
      </c>
      <c r="L133" s="17">
        <f>F133+'Stampa rendiconto PI - USC '!I133</f>
        <v>413688</v>
      </c>
      <c r="M133" s="17">
        <v>0</v>
      </c>
      <c r="N133" s="17">
        <f t="shared" si="62"/>
        <v>76891</v>
      </c>
      <c r="O133" s="192">
        <f>G133+'Stampa rendiconto PI - USC '!J133</f>
        <v>51402</v>
      </c>
      <c r="P133" s="193"/>
    </row>
    <row r="134" spans="1:21" x14ac:dyDescent="0.25">
      <c r="A134" s="15" t="s">
        <v>427</v>
      </c>
      <c r="B134" s="16" t="s">
        <v>171</v>
      </c>
      <c r="C134" s="15"/>
      <c r="D134" s="15"/>
      <c r="E134" s="17">
        <v>377</v>
      </c>
      <c r="F134" s="17">
        <f>E134</f>
        <v>377</v>
      </c>
      <c r="G134" s="17">
        <f t="shared" si="61"/>
        <v>0</v>
      </c>
      <c r="H134" s="17">
        <f>E134-J134</f>
        <v>377</v>
      </c>
      <c r="I134" s="17">
        <v>0</v>
      </c>
      <c r="J134" s="17">
        <v>0</v>
      </c>
      <c r="K134" s="17">
        <f>H134+'Stampa rendiconto PI - USC '!H134</f>
        <v>5377</v>
      </c>
      <c r="L134" s="17">
        <f>F134+'Stampa rendiconto PI - USC '!I134</f>
        <v>3204</v>
      </c>
      <c r="M134" s="17">
        <v>0</v>
      </c>
      <c r="N134" s="17">
        <f t="shared" si="62"/>
        <v>2173</v>
      </c>
      <c r="O134" s="192">
        <f>G134+'Stampa rendiconto PI - USC '!J134</f>
        <v>434</v>
      </c>
      <c r="P134" s="193"/>
    </row>
    <row r="135" spans="1:21" x14ac:dyDescent="0.25">
      <c r="A135" s="15" t="s">
        <v>428</v>
      </c>
      <c r="B135" s="16" t="s">
        <v>429</v>
      </c>
      <c r="C135" s="15"/>
      <c r="D135" s="15"/>
      <c r="E135" s="17">
        <v>0</v>
      </c>
      <c r="F135" s="17">
        <v>0</v>
      </c>
      <c r="G135" s="17">
        <f t="shared" si="61"/>
        <v>0</v>
      </c>
      <c r="H135" s="17">
        <f t="shared" si="63"/>
        <v>0</v>
      </c>
      <c r="I135" s="17">
        <v>0</v>
      </c>
      <c r="J135" s="17">
        <v>0</v>
      </c>
      <c r="K135" s="17">
        <f>H135+'Stampa rendiconto PI - USC '!H135</f>
        <v>0</v>
      </c>
      <c r="L135" s="17">
        <f>F135+'Stampa rendiconto PI - USC '!I135</f>
        <v>0</v>
      </c>
      <c r="M135" s="17">
        <v>0</v>
      </c>
      <c r="N135" s="17">
        <f t="shared" si="62"/>
        <v>0</v>
      </c>
      <c r="O135" s="192">
        <f>G135+'Stampa rendiconto PI - USC '!J135</f>
        <v>0</v>
      </c>
      <c r="P135" s="193"/>
    </row>
    <row r="136" spans="1:21" x14ac:dyDescent="0.25">
      <c r="A136" s="15" t="s">
        <v>430</v>
      </c>
      <c r="B136" s="16" t="s">
        <v>431</v>
      </c>
      <c r="C136" s="15"/>
      <c r="D136" s="15"/>
      <c r="E136" s="17">
        <v>0</v>
      </c>
      <c r="F136" s="17">
        <v>0</v>
      </c>
      <c r="G136" s="17">
        <f t="shared" si="61"/>
        <v>0</v>
      </c>
      <c r="H136" s="17">
        <f t="shared" si="63"/>
        <v>0</v>
      </c>
      <c r="I136" s="17">
        <v>0</v>
      </c>
      <c r="J136" s="17">
        <v>0</v>
      </c>
      <c r="K136" s="17">
        <f>H136+'Stampa rendiconto PI - USC '!H136</f>
        <v>0</v>
      </c>
      <c r="L136" s="17">
        <f>F136+'Stampa rendiconto PI - USC '!I136</f>
        <v>0</v>
      </c>
      <c r="M136" s="17">
        <v>0</v>
      </c>
      <c r="N136" s="17">
        <f t="shared" si="62"/>
        <v>0</v>
      </c>
      <c r="O136" s="192">
        <f>G136+'Stampa rendiconto PI - USC '!J136</f>
        <v>0</v>
      </c>
      <c r="P136" s="193"/>
    </row>
    <row r="137" spans="1:21" x14ac:dyDescent="0.25">
      <c r="A137" s="15" t="s">
        <v>432</v>
      </c>
      <c r="B137" s="16" t="s">
        <v>433</v>
      </c>
      <c r="C137" s="15"/>
      <c r="D137" s="15"/>
      <c r="E137" s="17">
        <v>193572</v>
      </c>
      <c r="F137" s="17">
        <f>E137</f>
        <v>193572</v>
      </c>
      <c r="G137" s="17">
        <f t="shared" si="61"/>
        <v>0</v>
      </c>
      <c r="H137" s="17">
        <f>E137-J137</f>
        <v>193572</v>
      </c>
      <c r="I137" s="17">
        <v>0</v>
      </c>
      <c r="J137" s="17">
        <v>0</v>
      </c>
      <c r="K137" s="17">
        <f>H137+'Stampa rendiconto PI - USC '!H137</f>
        <v>1393572</v>
      </c>
      <c r="L137" s="17">
        <f>F137+'Stampa rendiconto PI - USC '!I137</f>
        <v>1360606</v>
      </c>
      <c r="M137" s="17">
        <v>0</v>
      </c>
      <c r="N137" s="17">
        <f t="shared" si="62"/>
        <v>32966</v>
      </c>
      <c r="O137" s="192">
        <f>G137+'Stampa rendiconto PI - USC '!J137</f>
        <v>3739</v>
      </c>
      <c r="P137" s="193"/>
    </row>
    <row r="138" spans="1:21" x14ac:dyDescent="0.25">
      <c r="A138" s="15" t="s">
        <v>434</v>
      </c>
      <c r="B138" s="16" t="s">
        <v>179</v>
      </c>
      <c r="C138" s="15"/>
      <c r="D138" s="15"/>
      <c r="E138" s="17">
        <v>3000</v>
      </c>
      <c r="F138" s="17">
        <v>0</v>
      </c>
      <c r="G138" s="17">
        <f t="shared" si="61"/>
        <v>3000</v>
      </c>
      <c r="H138" s="17">
        <f t="shared" si="63"/>
        <v>3000</v>
      </c>
      <c r="I138" s="17">
        <v>0</v>
      </c>
      <c r="J138" s="17">
        <v>0</v>
      </c>
      <c r="K138" s="17">
        <f>H138+'Stampa rendiconto PI - USC '!H138</f>
        <v>33000</v>
      </c>
      <c r="L138" s="17">
        <f>F138+'Stampa rendiconto PI - USC '!I138</f>
        <v>15967</v>
      </c>
      <c r="M138" s="17">
        <v>0</v>
      </c>
      <c r="N138" s="17">
        <f t="shared" si="62"/>
        <v>17033</v>
      </c>
      <c r="O138" s="192">
        <f>G138+'Stampa rendiconto PI - USC '!J138</f>
        <v>3900</v>
      </c>
      <c r="P138" s="193"/>
    </row>
    <row r="139" spans="1:21" x14ac:dyDescent="0.25">
      <c r="A139" s="15" t="s">
        <v>435</v>
      </c>
      <c r="B139" s="16" t="s">
        <v>436</v>
      </c>
      <c r="C139" s="15"/>
      <c r="D139" s="15"/>
      <c r="E139" s="17">
        <v>0</v>
      </c>
      <c r="F139" s="17">
        <v>0</v>
      </c>
      <c r="G139" s="17">
        <f t="shared" si="61"/>
        <v>0</v>
      </c>
      <c r="H139" s="17">
        <f t="shared" si="63"/>
        <v>0</v>
      </c>
      <c r="I139" s="17">
        <v>0</v>
      </c>
      <c r="J139" s="17">
        <v>0</v>
      </c>
      <c r="K139" s="17">
        <f>H139+'Stampa rendiconto PI - USC '!H139</f>
        <v>22500</v>
      </c>
      <c r="L139" s="17">
        <f>F139+'Stampa rendiconto PI - USC '!I139</f>
        <v>20000</v>
      </c>
      <c r="M139" s="17">
        <v>0</v>
      </c>
      <c r="N139" s="17">
        <f t="shared" si="62"/>
        <v>2500</v>
      </c>
      <c r="O139" s="192">
        <f>G139+'Stampa rendiconto PI - USC '!J139</f>
        <v>0</v>
      </c>
      <c r="P139" s="193"/>
    </row>
    <row r="140" spans="1:21" x14ac:dyDescent="0.25">
      <c r="A140" s="15" t="s">
        <v>437</v>
      </c>
      <c r="B140" s="16" t="s">
        <v>183</v>
      </c>
      <c r="C140" s="15"/>
      <c r="D140" s="15"/>
      <c r="E140" s="17">
        <v>123484</v>
      </c>
      <c r="F140" s="17">
        <f>ROUND(118608.69,0)</f>
        <v>118609</v>
      </c>
      <c r="G140" s="17">
        <f t="shared" si="61"/>
        <v>4875</v>
      </c>
      <c r="H140" s="17">
        <f>E140-J140</f>
        <v>123484</v>
      </c>
      <c r="I140" s="17">
        <v>0</v>
      </c>
      <c r="J140" s="17">
        <v>0</v>
      </c>
      <c r="K140" s="17">
        <f>H140+'Stampa rendiconto PI - USC '!H140</f>
        <v>1023484</v>
      </c>
      <c r="L140" s="17">
        <f>F140+'Stampa rendiconto PI - USC '!I140</f>
        <v>965703</v>
      </c>
      <c r="M140" s="17">
        <v>0</v>
      </c>
      <c r="N140" s="17">
        <f t="shared" si="62"/>
        <v>57781</v>
      </c>
      <c r="O140" s="192">
        <f>G140+'Stampa rendiconto PI - USC '!J140</f>
        <v>39974</v>
      </c>
      <c r="P140" s="193"/>
    </row>
    <row r="141" spans="1:21" x14ac:dyDescent="0.25">
      <c r="A141" s="196" t="s">
        <v>438</v>
      </c>
      <c r="B141" s="202"/>
      <c r="C141" s="202"/>
      <c r="D141" s="202"/>
      <c r="E141" s="13">
        <f>SUM(E132:E140)</f>
        <v>519318</v>
      </c>
      <c r="F141" s="13">
        <f>SUM(F132:F140)</f>
        <v>508687</v>
      </c>
      <c r="G141" s="13">
        <f>SUM(G132:G140)</f>
        <v>10631</v>
      </c>
      <c r="H141" s="13">
        <f>SUM(H132:H140)</f>
        <v>519318</v>
      </c>
      <c r="I141" s="13">
        <v>0</v>
      </c>
      <c r="J141" s="13">
        <f>SUM(J132:J140)</f>
        <v>0</v>
      </c>
      <c r="K141" s="13">
        <f>SUM(K132:K140)</f>
        <v>4726818</v>
      </c>
      <c r="L141" s="13">
        <f>SUM(L132:L140)</f>
        <v>4280642</v>
      </c>
      <c r="M141" s="13">
        <v>0</v>
      </c>
      <c r="N141" s="13">
        <f>SUM(N132:N140)</f>
        <v>446176</v>
      </c>
      <c r="O141" s="203">
        <f>SUM(O132:P140)</f>
        <v>295937</v>
      </c>
      <c r="P141" s="193"/>
    </row>
    <row r="142" spans="1:21" x14ac:dyDescent="0.25">
      <c r="A142" s="196" t="s">
        <v>439</v>
      </c>
      <c r="B142" s="196"/>
      <c r="C142" s="196"/>
      <c r="D142" s="196"/>
      <c r="E142" s="13">
        <f>E141</f>
        <v>519318</v>
      </c>
      <c r="F142" s="13">
        <f>F141</f>
        <v>508687</v>
      </c>
      <c r="G142" s="13">
        <f>G141</f>
        <v>10631</v>
      </c>
      <c r="H142" s="13">
        <f>H141</f>
        <v>519318</v>
      </c>
      <c r="I142" s="13">
        <v>0</v>
      </c>
      <c r="J142" s="13">
        <f>J141</f>
        <v>0</v>
      </c>
      <c r="K142" s="13">
        <f>K141</f>
        <v>4726818</v>
      </c>
      <c r="L142" s="13">
        <f>L141</f>
        <v>4280642</v>
      </c>
      <c r="M142" s="13">
        <v>0</v>
      </c>
      <c r="N142" s="13">
        <f>N141</f>
        <v>446176</v>
      </c>
      <c r="O142" s="203">
        <f>O141</f>
        <v>295937</v>
      </c>
      <c r="P142" s="193"/>
    </row>
    <row r="143" spans="1:21" ht="15" x14ac:dyDescent="0.25">
      <c r="A143" s="177" t="s">
        <v>186</v>
      </c>
      <c r="B143" s="177"/>
      <c r="C143" s="177"/>
      <c r="D143" s="177"/>
      <c r="E143" s="14">
        <f>E142+E129+E84</f>
        <v>60978718</v>
      </c>
      <c r="F143" s="14">
        <f>F142+F129+F84</f>
        <v>17264535</v>
      </c>
      <c r="G143" s="14">
        <f t="shared" ref="G143:N143" si="64">G142+G129+G84</f>
        <v>40201348</v>
      </c>
      <c r="H143" s="14">
        <f t="shared" si="64"/>
        <v>57465883</v>
      </c>
      <c r="I143" s="14">
        <f t="shared" si="64"/>
        <v>0</v>
      </c>
      <c r="J143" s="14">
        <f>J142+J129+J84</f>
        <v>3512835</v>
      </c>
      <c r="K143" s="14">
        <f t="shared" si="64"/>
        <v>125933886</v>
      </c>
      <c r="L143" s="14">
        <f t="shared" si="64"/>
        <v>49466891</v>
      </c>
      <c r="M143" s="14">
        <f t="shared" si="64"/>
        <v>0</v>
      </c>
      <c r="N143" s="14">
        <f t="shared" si="64"/>
        <v>76466995</v>
      </c>
      <c r="O143" s="199">
        <f>O142+O129+O84</f>
        <v>117649910</v>
      </c>
      <c r="P143" s="200">
        <f t="shared" ref="P143" si="65">P142+P129+P84</f>
        <v>0</v>
      </c>
      <c r="R143" s="18">
        <f>O143+J143</f>
        <v>121162745</v>
      </c>
      <c r="S143" s="20">
        <f>O143+J143</f>
        <v>121162745</v>
      </c>
      <c r="U143" s="19"/>
    </row>
    <row r="144" spans="1:21" hidden="1" x14ac:dyDescent="0.25">
      <c r="E144" s="4" t="s">
        <v>614</v>
      </c>
      <c r="K144" s="4" t="s">
        <v>614</v>
      </c>
      <c r="L144" s="4" t="s">
        <v>614</v>
      </c>
    </row>
  </sheetData>
  <mergeCells count="179">
    <mergeCell ref="O140:P140"/>
    <mergeCell ref="A141:D141"/>
    <mergeCell ref="O141:P141"/>
    <mergeCell ref="A142:D142"/>
    <mergeCell ref="O142:P142"/>
    <mergeCell ref="A143:D143"/>
    <mergeCell ref="O143:P143"/>
    <mergeCell ref="O134:P134"/>
    <mergeCell ref="O135:P135"/>
    <mergeCell ref="O136:P136"/>
    <mergeCell ref="O137:P137"/>
    <mergeCell ref="O138:P138"/>
    <mergeCell ref="O139:P139"/>
    <mergeCell ref="A129:D129"/>
    <mergeCell ref="O129:P129"/>
    <mergeCell ref="B130:P130"/>
    <mergeCell ref="B131:P131"/>
    <mergeCell ref="O132:P132"/>
    <mergeCell ref="O133:P133"/>
    <mergeCell ref="A125:D125"/>
    <mergeCell ref="O125:P125"/>
    <mergeCell ref="B126:P126"/>
    <mergeCell ref="O127:P127"/>
    <mergeCell ref="A128:D128"/>
    <mergeCell ref="O128:P128"/>
    <mergeCell ref="B120:P120"/>
    <mergeCell ref="O121:P121"/>
    <mergeCell ref="A122:D122"/>
    <mergeCell ref="O122:P122"/>
    <mergeCell ref="B123:P123"/>
    <mergeCell ref="O124:P124"/>
    <mergeCell ref="A116:D116"/>
    <mergeCell ref="O116:P116"/>
    <mergeCell ref="B117:P117"/>
    <mergeCell ref="O118:P118"/>
    <mergeCell ref="A119:D119"/>
    <mergeCell ref="O119:P119"/>
    <mergeCell ref="O111:P111"/>
    <mergeCell ref="A112:D112"/>
    <mergeCell ref="O112:P112"/>
    <mergeCell ref="B113:P113"/>
    <mergeCell ref="O114:P114"/>
    <mergeCell ref="O115:P115"/>
    <mergeCell ref="O106:P106"/>
    <mergeCell ref="A107:D107"/>
    <mergeCell ref="O107:P107"/>
    <mergeCell ref="B108:P108"/>
    <mergeCell ref="O109:P109"/>
    <mergeCell ref="O110:P110"/>
    <mergeCell ref="O101:P101"/>
    <mergeCell ref="A102:D102"/>
    <mergeCell ref="O102:P102"/>
    <mergeCell ref="B103:P103"/>
    <mergeCell ref="O104:P104"/>
    <mergeCell ref="O105:P105"/>
    <mergeCell ref="O96:P96"/>
    <mergeCell ref="O97:P97"/>
    <mergeCell ref="A98:D98"/>
    <mergeCell ref="O98:P98"/>
    <mergeCell ref="B99:P99"/>
    <mergeCell ref="O100:P100"/>
    <mergeCell ref="A91:D91"/>
    <mergeCell ref="O91:P91"/>
    <mergeCell ref="B92:P92"/>
    <mergeCell ref="O93:P93"/>
    <mergeCell ref="O94:P94"/>
    <mergeCell ref="O95:P95"/>
    <mergeCell ref="B85:P85"/>
    <mergeCell ref="B86:P86"/>
    <mergeCell ref="O87:P87"/>
    <mergeCell ref="O88:P88"/>
    <mergeCell ref="O89:P89"/>
    <mergeCell ref="O90:P90"/>
    <mergeCell ref="B81:P81"/>
    <mergeCell ref="O82:P82"/>
    <mergeCell ref="A83:D83"/>
    <mergeCell ref="O83:P83"/>
    <mergeCell ref="A84:D84"/>
    <mergeCell ref="O84:P84"/>
    <mergeCell ref="A77:D77"/>
    <mergeCell ref="O77:P77"/>
    <mergeCell ref="B78:P78"/>
    <mergeCell ref="O79:P79"/>
    <mergeCell ref="A80:D80"/>
    <mergeCell ref="O80:P80"/>
    <mergeCell ref="B72:P72"/>
    <mergeCell ref="O73:P73"/>
    <mergeCell ref="A74:D74"/>
    <mergeCell ref="O74:P74"/>
    <mergeCell ref="B75:P75"/>
    <mergeCell ref="O76:P76"/>
    <mergeCell ref="B66:P66"/>
    <mergeCell ref="O67:P67"/>
    <mergeCell ref="O68:P68"/>
    <mergeCell ref="O69:P69"/>
    <mergeCell ref="O70:P70"/>
    <mergeCell ref="A71:D71"/>
    <mergeCell ref="O71:P71"/>
    <mergeCell ref="A62:D62"/>
    <mergeCell ref="O62:P62"/>
    <mergeCell ref="B63:P63"/>
    <mergeCell ref="O64:P64"/>
    <mergeCell ref="A65:D65"/>
    <mergeCell ref="O65:P65"/>
    <mergeCell ref="B57:P57"/>
    <mergeCell ref="O58:P58"/>
    <mergeCell ref="A59:D59"/>
    <mergeCell ref="O59:P59"/>
    <mergeCell ref="B60:P60"/>
    <mergeCell ref="O61:P61"/>
    <mergeCell ref="B52:P52"/>
    <mergeCell ref="O53:P53"/>
    <mergeCell ref="O54:P54"/>
    <mergeCell ref="O55:P55"/>
    <mergeCell ref="A56:D56"/>
    <mergeCell ref="O56:P56"/>
    <mergeCell ref="O46:P46"/>
    <mergeCell ref="O47:P47"/>
    <mergeCell ref="O48:P48"/>
    <mergeCell ref="O49:P49"/>
    <mergeCell ref="O50:P50"/>
    <mergeCell ref="A51:D51"/>
    <mergeCell ref="O51:P51"/>
    <mergeCell ref="O41:P41"/>
    <mergeCell ref="O42:P42"/>
    <mergeCell ref="O43:P43"/>
    <mergeCell ref="A44:D44"/>
    <mergeCell ref="O44:P44"/>
    <mergeCell ref="B45:P45"/>
    <mergeCell ref="O35:P35"/>
    <mergeCell ref="O36:P36"/>
    <mergeCell ref="O37:P37"/>
    <mergeCell ref="O38:P38"/>
    <mergeCell ref="O39:P39"/>
    <mergeCell ref="O40:P40"/>
    <mergeCell ref="O29:P29"/>
    <mergeCell ref="O30:P30"/>
    <mergeCell ref="O31:P31"/>
    <mergeCell ref="O32:P32"/>
    <mergeCell ref="O33:P33"/>
    <mergeCell ref="O34:P34"/>
    <mergeCell ref="A24:D24"/>
    <mergeCell ref="O24:P24"/>
    <mergeCell ref="B25:P25"/>
    <mergeCell ref="O26:P26"/>
    <mergeCell ref="O27:P27"/>
    <mergeCell ref="O28:P28"/>
    <mergeCell ref="O18:P18"/>
    <mergeCell ref="O19:P19"/>
    <mergeCell ref="O20:P20"/>
    <mergeCell ref="O21:P21"/>
    <mergeCell ref="O22:P22"/>
    <mergeCell ref="O23:P23"/>
    <mergeCell ref="A13:D13"/>
    <mergeCell ref="O13:P13"/>
    <mergeCell ref="B14:P14"/>
    <mergeCell ref="O15:P15"/>
    <mergeCell ref="O16:P16"/>
    <mergeCell ref="O17:P17"/>
    <mergeCell ref="B8:P8"/>
    <mergeCell ref="B9:P9"/>
    <mergeCell ref="O10:P10"/>
    <mergeCell ref="O11:P11"/>
    <mergeCell ref="O12:P12"/>
    <mergeCell ref="A6:D6"/>
    <mergeCell ref="E6:H6"/>
    <mergeCell ref="K6:L6"/>
    <mergeCell ref="M6:N6"/>
    <mergeCell ref="O6:P6"/>
    <mergeCell ref="I6:J6"/>
    <mergeCell ref="A1:P1"/>
    <mergeCell ref="A2:P2"/>
    <mergeCell ref="A3:P3"/>
    <mergeCell ref="A4:P4"/>
    <mergeCell ref="A5:D5"/>
    <mergeCell ref="E5:J5"/>
    <mergeCell ref="K5:N5"/>
    <mergeCell ref="O5:P5"/>
    <mergeCell ref="O7:P7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5</vt:i4>
      </vt:variant>
    </vt:vector>
  </HeadingPairs>
  <TitlesOfParts>
    <vt:vector size="13" baseType="lpstr">
      <vt:lpstr>mod. SITUAM 2024</vt:lpstr>
      <vt:lpstr>Quadro Generale </vt:lpstr>
      <vt:lpstr>decisionale spese</vt:lpstr>
      <vt:lpstr>decisionale entrate </vt:lpstr>
      <vt:lpstr>Stampa rendiconto PI - ENTR</vt:lpstr>
      <vt:lpstr>Stampa rendiconto PII - ENTRATE</vt:lpstr>
      <vt:lpstr>Stampa rendiconto PI - USC </vt:lpstr>
      <vt:lpstr>Stampa rendiconto PII - USCITE</vt:lpstr>
      <vt:lpstr>'mod. SITUAM 2024'!Area_stampa</vt:lpstr>
      <vt:lpstr>'Stampa rendiconto PI - ENTR'!Titoli_stampa</vt:lpstr>
      <vt:lpstr>'Stampa rendiconto PI - USC '!Titoli_stampa</vt:lpstr>
      <vt:lpstr>'Stampa rendiconto PII - ENTRATE'!Titoli_stampa</vt:lpstr>
      <vt:lpstr>'Stampa rendiconto PII - USCITE'!Titoli_stampa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Ladiana</dc:creator>
  <cp:lastModifiedBy>Raffaella Ladiana</cp:lastModifiedBy>
  <cp:lastPrinted>2025-04-07T07:59:40Z</cp:lastPrinted>
  <dcterms:created xsi:type="dcterms:W3CDTF">2024-03-01T11:56:29Z</dcterms:created>
  <dcterms:modified xsi:type="dcterms:W3CDTF">2025-08-28T07:59:32Z</dcterms:modified>
</cp:coreProperties>
</file>